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5135" windowHeight="9300" tabRatio="825"/>
  </bookViews>
  <sheets>
    <sheet name="Berechnung KEV - KWK" sheetId="1" r:id="rId1"/>
    <sheet name="ES2050 NN" sheetId="10" r:id="rId2"/>
    <sheet name="ES2050" sheetId="9" r:id="rId3"/>
    <sheet name="KEV - KWK Kat 1 bis 2014 - 16" sheetId="2" r:id="rId4"/>
    <sheet name="KEV - KWK Kat 1 ab 2017" sheetId="5" r:id="rId5"/>
    <sheet name="KEV - KWK Kat 2 2014 - 15" sheetId="3" r:id="rId6"/>
    <sheet name="KEV - KWK Kat 2 2016" sheetId="7" r:id="rId7"/>
    <sheet name="KEV - KWK Kat 2 NN ab 2017" sheetId="6" r:id="rId8"/>
    <sheet name="KEV - KWK Kat 2 andere 2017" sheetId="8" r:id="rId9"/>
  </sheets>
  <definedNames>
    <definedName name="neubau" localSheetId="2">'ES2050'!$G$20:$K$21</definedName>
    <definedName name="neubau" localSheetId="1">'ES2050 NN'!$G$20:$K$21</definedName>
    <definedName name="neubau" localSheetId="4">'KEV - KWK Kat 1 ab 2017'!$G$20:$K$21</definedName>
    <definedName name="neubau" localSheetId="3">'KEV - KWK Kat 1 bis 2014 - 16'!$G$20:$K$21</definedName>
    <definedName name="neubau" localSheetId="5">'KEV - KWK Kat 2 2014 - 15'!$G$22:$K$23</definedName>
    <definedName name="neubau" localSheetId="6">'KEV - KWK Kat 2 2016'!$G$22:$K$23</definedName>
    <definedName name="neubau" localSheetId="8">'KEV - KWK Kat 2 andere 2017'!$G$22:$K$23</definedName>
    <definedName name="neubau" localSheetId="7">'KEV - KWK Kat 2 NN ab 2017'!$G$22:$K$23</definedName>
    <definedName name="neubau">'Berechnung KEV - KWK'!$G$31:$K$32</definedName>
    <definedName name="_xlnm.Print_Area" localSheetId="0">'Berechnung KEV - KWK'!$A$1:$E$154</definedName>
  </definedNames>
  <calcPr calcId="145621"/>
</workbook>
</file>

<file path=xl/calcChain.xml><?xml version="1.0" encoding="utf-8"?>
<calcChain xmlns="http://schemas.openxmlformats.org/spreadsheetml/2006/main">
  <c r="C19" i="1" l="1"/>
  <c r="BA34" i="1" l="1"/>
  <c r="BA35" i="1" s="1"/>
  <c r="AZ34" i="1"/>
  <c r="AZ35" i="1" s="1"/>
  <c r="AY34" i="1"/>
  <c r="AY35" i="1" s="1"/>
  <c r="AX34" i="1"/>
  <c r="AX35" i="1" s="1"/>
  <c r="AW34" i="1"/>
  <c r="AW35" i="1" s="1"/>
  <c r="AV34" i="1"/>
  <c r="AV35" i="1" s="1"/>
  <c r="AU34" i="1"/>
  <c r="AU35" i="1" s="1"/>
  <c r="AT34" i="1"/>
  <c r="AT35" i="1" s="1"/>
  <c r="AS34" i="1"/>
  <c r="AS35" i="1" s="1"/>
  <c r="AR34" i="1"/>
  <c r="AR35" i="1" s="1"/>
  <c r="AQ34" i="1"/>
  <c r="AQ35" i="1" s="1"/>
  <c r="AP34" i="1"/>
  <c r="AP35" i="1" s="1"/>
  <c r="AO34" i="1"/>
  <c r="AO35" i="1" s="1"/>
  <c r="AN34" i="1"/>
  <c r="AN35" i="1" s="1"/>
  <c r="AM34" i="1"/>
  <c r="AM35" i="1" s="1"/>
  <c r="AL34" i="1"/>
  <c r="AL35" i="1" s="1"/>
  <c r="AK34" i="1"/>
  <c r="AK35" i="1" s="1"/>
  <c r="AJ34" i="1"/>
  <c r="AJ35" i="1" s="1"/>
  <c r="AI34" i="1"/>
  <c r="AI35" i="1" s="1"/>
  <c r="AH34" i="1"/>
  <c r="AH35" i="1" s="1"/>
  <c r="AG34" i="1"/>
  <c r="AG35" i="1" s="1"/>
  <c r="AF34" i="1"/>
  <c r="AF35" i="1" s="1"/>
  <c r="AE34" i="1"/>
  <c r="AE35" i="1" s="1"/>
  <c r="AD34" i="1"/>
  <c r="AD35" i="1" s="1"/>
  <c r="AC34" i="1"/>
  <c r="AC35" i="1" s="1"/>
  <c r="C12" i="10"/>
  <c r="C11" i="10"/>
  <c r="C10" i="10"/>
  <c r="C25" i="10" s="1"/>
  <c r="C30" i="10" s="1"/>
  <c r="C9" i="10"/>
  <c r="C8" i="10"/>
  <c r="C7" i="10" s="1"/>
  <c r="AD32" i="1"/>
  <c r="AD33" i="1" s="1"/>
  <c r="AE32" i="1"/>
  <c r="AE33" i="1" s="1"/>
  <c r="AF32" i="1"/>
  <c r="AF33" i="1" s="1"/>
  <c r="AG32" i="1"/>
  <c r="AG33" i="1" s="1"/>
  <c r="AH32" i="1"/>
  <c r="AH33" i="1" s="1"/>
  <c r="AI32" i="1"/>
  <c r="AI33" i="1" s="1"/>
  <c r="AJ32" i="1"/>
  <c r="AJ33" i="1" s="1"/>
  <c r="AK32" i="1"/>
  <c r="AK33" i="1" s="1"/>
  <c r="AL32" i="1"/>
  <c r="AL33" i="1" s="1"/>
  <c r="AM32" i="1"/>
  <c r="AN32" i="1"/>
  <c r="AN33" i="1" s="1"/>
  <c r="AO32" i="1"/>
  <c r="AO33" i="1" s="1"/>
  <c r="AP32" i="1"/>
  <c r="AP33" i="1" s="1"/>
  <c r="AQ32" i="1"/>
  <c r="AQ33" i="1" s="1"/>
  <c r="AR32" i="1"/>
  <c r="AR33" i="1" s="1"/>
  <c r="AS32" i="1"/>
  <c r="AS33" i="1" s="1"/>
  <c r="AT32" i="1"/>
  <c r="AT33" i="1" s="1"/>
  <c r="AU32" i="1"/>
  <c r="AV32" i="1"/>
  <c r="AV33" i="1" s="1"/>
  <c r="AW32" i="1"/>
  <c r="AW33" i="1" s="1"/>
  <c r="AX32" i="1"/>
  <c r="AX33" i="1" s="1"/>
  <c r="AY32" i="1"/>
  <c r="AY33" i="1" s="1"/>
  <c r="AZ32" i="1"/>
  <c r="AZ33" i="1" s="1"/>
  <c r="BA32" i="1"/>
  <c r="BA33" i="1" s="1"/>
  <c r="AC32" i="1"/>
  <c r="AC33" i="1" s="1"/>
  <c r="AC30" i="1"/>
  <c r="AC31" i="1" s="1"/>
  <c r="AU33" i="1"/>
  <c r="AM33" i="1"/>
  <c r="AD30" i="1"/>
  <c r="AD31" i="1" s="1"/>
  <c r="AE30" i="1"/>
  <c r="AE31" i="1" s="1"/>
  <c r="AF30" i="1"/>
  <c r="AF31" i="1" s="1"/>
  <c r="AG30" i="1"/>
  <c r="AG31" i="1" s="1"/>
  <c r="AI30" i="1"/>
  <c r="AI31" i="1" s="1"/>
  <c r="AJ30" i="1"/>
  <c r="AJ31" i="1" s="1"/>
  <c r="AK30" i="1"/>
  <c r="AK31" i="1" s="1"/>
  <c r="AL30" i="1"/>
  <c r="AL31" i="1" s="1"/>
  <c r="AM30" i="1"/>
  <c r="AM31" i="1" s="1"/>
  <c r="AN30" i="1"/>
  <c r="AN31" i="1" s="1"/>
  <c r="AO30" i="1"/>
  <c r="AO31" i="1" s="1"/>
  <c r="AP30" i="1"/>
  <c r="AP31" i="1" s="1"/>
  <c r="AQ30" i="1"/>
  <c r="AQ31" i="1" s="1"/>
  <c r="AR30" i="1"/>
  <c r="AR31" i="1" s="1"/>
  <c r="AS30" i="1"/>
  <c r="AS31" i="1" s="1"/>
  <c r="AT30" i="1"/>
  <c r="AT31" i="1" s="1"/>
  <c r="AU30" i="1"/>
  <c r="AU31" i="1" s="1"/>
  <c r="AV30" i="1"/>
  <c r="AV31" i="1" s="1"/>
  <c r="AW30" i="1"/>
  <c r="AW31" i="1" s="1"/>
  <c r="AX30" i="1"/>
  <c r="AX31" i="1" s="1"/>
  <c r="AY30" i="1"/>
  <c r="AY31" i="1" s="1"/>
  <c r="AZ30" i="1"/>
  <c r="BA30" i="1"/>
  <c r="BA31" i="1" s="1"/>
  <c r="AH30" i="1"/>
  <c r="AH31" i="1" s="1"/>
  <c r="AH28" i="1"/>
  <c r="AZ31" i="1"/>
  <c r="C12" i="9"/>
  <c r="C11" i="9"/>
  <c r="C10" i="9"/>
  <c r="C25" i="9" s="1"/>
  <c r="C30" i="9" s="1"/>
  <c r="C42" i="1" s="1"/>
  <c r="C9" i="9"/>
  <c r="C8" i="9"/>
  <c r="C24" i="10" l="1"/>
  <c r="C31" i="10" s="1"/>
  <c r="C29" i="10"/>
  <c r="D24" i="10"/>
  <c r="C55" i="1"/>
  <c r="C49" i="1"/>
  <c r="C7" i="9"/>
  <c r="C29" i="9" s="1"/>
  <c r="C13" i="8"/>
  <c r="C12" i="8"/>
  <c r="C11" i="8"/>
  <c r="C26" i="8" s="1"/>
  <c r="C31" i="8" s="1"/>
  <c r="C10" i="8"/>
  <c r="C9" i="8"/>
  <c r="AI18" i="1"/>
  <c r="AI19" i="1" s="1"/>
  <c r="AJ18" i="1"/>
  <c r="AJ19" i="1" s="1"/>
  <c r="AK18" i="1"/>
  <c r="AK19" i="1" s="1"/>
  <c r="AL18" i="1"/>
  <c r="AL19" i="1" s="1"/>
  <c r="AM18" i="1"/>
  <c r="AM19" i="1" s="1"/>
  <c r="AN18" i="1"/>
  <c r="AN19" i="1" s="1"/>
  <c r="AO18" i="1"/>
  <c r="AO19" i="1" s="1"/>
  <c r="AP18" i="1"/>
  <c r="AP19" i="1" s="1"/>
  <c r="AQ18" i="1"/>
  <c r="AQ19" i="1" s="1"/>
  <c r="AR18" i="1"/>
  <c r="AR19" i="1" s="1"/>
  <c r="AS18" i="1"/>
  <c r="AS19" i="1" s="1"/>
  <c r="AT18" i="1"/>
  <c r="AT19" i="1" s="1"/>
  <c r="AU18" i="1"/>
  <c r="AU19" i="1" s="1"/>
  <c r="AV18" i="1"/>
  <c r="AV19" i="1" s="1"/>
  <c r="AW18" i="1"/>
  <c r="AW19" i="1" s="1"/>
  <c r="AX18" i="1"/>
  <c r="AX19" i="1" s="1"/>
  <c r="AY18" i="1"/>
  <c r="AY19" i="1" s="1"/>
  <c r="AZ18" i="1"/>
  <c r="AZ19" i="1" s="1"/>
  <c r="BA18" i="1"/>
  <c r="BA19" i="1" s="1"/>
  <c r="AH18" i="1"/>
  <c r="AH19" i="1" s="1"/>
  <c r="AH16" i="1"/>
  <c r="C13" i="7"/>
  <c r="C12" i="7"/>
  <c r="C11" i="7"/>
  <c r="C26" i="7" s="1"/>
  <c r="C31" i="7" s="1"/>
  <c r="C10" i="7"/>
  <c r="C9" i="7"/>
  <c r="AI28" i="1"/>
  <c r="AI29" i="1" s="1"/>
  <c r="AJ28" i="1"/>
  <c r="AJ29" i="1" s="1"/>
  <c r="AK28" i="1"/>
  <c r="AK29" i="1" s="1"/>
  <c r="AL28" i="1"/>
  <c r="AL29" i="1" s="1"/>
  <c r="AM28" i="1"/>
  <c r="AM29" i="1" s="1"/>
  <c r="AN28" i="1"/>
  <c r="AN29" i="1" s="1"/>
  <c r="AO28" i="1"/>
  <c r="AO29" i="1" s="1"/>
  <c r="AP28" i="1"/>
  <c r="AP29" i="1" s="1"/>
  <c r="AQ28" i="1"/>
  <c r="AQ29" i="1" s="1"/>
  <c r="AR28" i="1"/>
  <c r="AR29" i="1" s="1"/>
  <c r="AS28" i="1"/>
  <c r="AS29" i="1" s="1"/>
  <c r="AT28" i="1"/>
  <c r="AT29" i="1" s="1"/>
  <c r="AU28" i="1"/>
  <c r="AU29" i="1" s="1"/>
  <c r="AV28" i="1"/>
  <c r="AV29" i="1" s="1"/>
  <c r="AW28" i="1"/>
  <c r="AW29" i="1" s="1"/>
  <c r="AX28" i="1"/>
  <c r="AX29" i="1" s="1"/>
  <c r="AY28" i="1"/>
  <c r="AY29" i="1" s="1"/>
  <c r="AZ28" i="1"/>
  <c r="AZ29" i="1" s="1"/>
  <c r="BA28" i="1"/>
  <c r="BA29" i="1" s="1"/>
  <c r="AI26" i="1"/>
  <c r="AI27" i="1" s="1"/>
  <c r="AJ26" i="1"/>
  <c r="AJ27" i="1" s="1"/>
  <c r="AK26" i="1"/>
  <c r="AK27" i="1" s="1"/>
  <c r="AL26" i="1"/>
  <c r="AL27" i="1" s="1"/>
  <c r="AM26" i="1"/>
  <c r="AM27" i="1" s="1"/>
  <c r="AN26" i="1"/>
  <c r="AN27" i="1" s="1"/>
  <c r="AO26" i="1"/>
  <c r="AO27" i="1" s="1"/>
  <c r="AP26" i="1"/>
  <c r="AP27" i="1" s="1"/>
  <c r="AQ26" i="1"/>
  <c r="AQ27" i="1" s="1"/>
  <c r="AR26" i="1"/>
  <c r="AR27" i="1" s="1"/>
  <c r="AS26" i="1"/>
  <c r="AS27" i="1" s="1"/>
  <c r="AT26" i="1"/>
  <c r="AT27" i="1" s="1"/>
  <c r="AU26" i="1"/>
  <c r="AU27" i="1" s="1"/>
  <c r="AV26" i="1"/>
  <c r="AV27" i="1" s="1"/>
  <c r="AW26" i="1"/>
  <c r="AW27" i="1" s="1"/>
  <c r="AX26" i="1"/>
  <c r="AX27" i="1" s="1"/>
  <c r="AY26" i="1"/>
  <c r="AY27" i="1" s="1"/>
  <c r="AZ26" i="1"/>
  <c r="AZ27" i="1" s="1"/>
  <c r="BA26" i="1"/>
  <c r="BA27" i="1" s="1"/>
  <c r="AI24" i="1"/>
  <c r="AI25" i="1" s="1"/>
  <c r="AJ24" i="1"/>
  <c r="AJ25" i="1" s="1"/>
  <c r="AK24" i="1"/>
  <c r="AK25" i="1" s="1"/>
  <c r="AL24" i="1"/>
  <c r="AL25" i="1" s="1"/>
  <c r="AM24" i="1"/>
  <c r="AM25" i="1" s="1"/>
  <c r="AN24" i="1"/>
  <c r="AN25" i="1" s="1"/>
  <c r="AO24" i="1"/>
  <c r="AO25" i="1" s="1"/>
  <c r="AP24" i="1"/>
  <c r="AP25" i="1" s="1"/>
  <c r="AQ24" i="1"/>
  <c r="AQ25" i="1" s="1"/>
  <c r="AR24" i="1"/>
  <c r="AR25" i="1" s="1"/>
  <c r="AS24" i="1"/>
  <c r="AS25" i="1" s="1"/>
  <c r="AT24" i="1"/>
  <c r="AT25" i="1" s="1"/>
  <c r="AU24" i="1"/>
  <c r="AU25" i="1" s="1"/>
  <c r="AV24" i="1"/>
  <c r="AV25" i="1" s="1"/>
  <c r="AW24" i="1"/>
  <c r="AW25" i="1" s="1"/>
  <c r="AX24" i="1"/>
  <c r="AX25" i="1" s="1"/>
  <c r="AY24" i="1"/>
  <c r="AY25" i="1" s="1"/>
  <c r="AZ24" i="1"/>
  <c r="AZ25" i="1" s="1"/>
  <c r="BA24" i="1"/>
  <c r="BA25" i="1" s="1"/>
  <c r="AI22" i="1"/>
  <c r="AI23" i="1" s="1"/>
  <c r="AJ22" i="1"/>
  <c r="AJ23" i="1" s="1"/>
  <c r="AK22" i="1"/>
  <c r="AK23" i="1" s="1"/>
  <c r="AL22" i="1"/>
  <c r="AM22" i="1"/>
  <c r="AM23" i="1" s="1"/>
  <c r="AN22" i="1"/>
  <c r="AN23" i="1" s="1"/>
  <c r="AO22" i="1"/>
  <c r="AO23" i="1" s="1"/>
  <c r="AP22" i="1"/>
  <c r="AP23" i="1" s="1"/>
  <c r="AQ22" i="1"/>
  <c r="AQ23" i="1" s="1"/>
  <c r="AR22" i="1"/>
  <c r="AR23" i="1" s="1"/>
  <c r="AS22" i="1"/>
  <c r="AS23" i="1" s="1"/>
  <c r="AT22" i="1"/>
  <c r="AT23" i="1" s="1"/>
  <c r="AU22" i="1"/>
  <c r="AU23" i="1" s="1"/>
  <c r="AV22" i="1"/>
  <c r="AV23" i="1" s="1"/>
  <c r="AW22" i="1"/>
  <c r="AW23" i="1" s="1"/>
  <c r="AX22" i="1"/>
  <c r="AX23" i="1" s="1"/>
  <c r="AY22" i="1"/>
  <c r="AY23" i="1" s="1"/>
  <c r="AZ22" i="1"/>
  <c r="AZ23" i="1" s="1"/>
  <c r="BA22" i="1"/>
  <c r="BA23" i="1" s="1"/>
  <c r="AH29" i="1"/>
  <c r="AH26" i="1"/>
  <c r="AH27" i="1" s="1"/>
  <c r="AH24" i="1"/>
  <c r="AH25" i="1" s="1"/>
  <c r="AH22" i="1"/>
  <c r="AH23" i="1" s="1"/>
  <c r="AL23" i="1"/>
  <c r="C32" i="10" l="1"/>
  <c r="C56" i="1"/>
  <c r="C41" i="1"/>
  <c r="C48" i="1"/>
  <c r="C50" i="1" s="1"/>
  <c r="C54" i="1"/>
  <c r="D24" i="9"/>
  <c r="C24" i="9"/>
  <c r="C31" i="9" s="1"/>
  <c r="C8" i="8"/>
  <c r="C25" i="8" s="1"/>
  <c r="C32" i="8" s="1"/>
  <c r="C8" i="7"/>
  <c r="C30" i="7" s="1"/>
  <c r="C35" i="1"/>
  <c r="C138" i="1" s="1"/>
  <c r="C9" i="6"/>
  <c r="C10" i="6"/>
  <c r="C13" i="6"/>
  <c r="C12" i="6"/>
  <c r="C11" i="6"/>
  <c r="C26" i="6" s="1"/>
  <c r="C31" i="6" s="1"/>
  <c r="AH20" i="1"/>
  <c r="AH21" i="1" s="1"/>
  <c r="AI20" i="1"/>
  <c r="AI21" i="1" s="1"/>
  <c r="AJ20" i="1"/>
  <c r="AJ21" i="1" s="1"/>
  <c r="AK20" i="1"/>
  <c r="AK21" i="1" s="1"/>
  <c r="AL20" i="1"/>
  <c r="AL21" i="1" s="1"/>
  <c r="AM20" i="1"/>
  <c r="AM21" i="1" s="1"/>
  <c r="AN20" i="1"/>
  <c r="AN21" i="1" s="1"/>
  <c r="AO20" i="1"/>
  <c r="AO21" i="1" s="1"/>
  <c r="AP20" i="1"/>
  <c r="AP21" i="1" s="1"/>
  <c r="AQ20" i="1"/>
  <c r="AQ21" i="1" s="1"/>
  <c r="AR20" i="1"/>
  <c r="AR21" i="1" s="1"/>
  <c r="AS20" i="1"/>
  <c r="AS21" i="1" s="1"/>
  <c r="AT20" i="1"/>
  <c r="AT21" i="1" s="1"/>
  <c r="AU20" i="1"/>
  <c r="AU21" i="1" s="1"/>
  <c r="AV20" i="1"/>
  <c r="AV21" i="1" s="1"/>
  <c r="AW20" i="1"/>
  <c r="AW21" i="1" s="1"/>
  <c r="AX20" i="1"/>
  <c r="AX21" i="1" s="1"/>
  <c r="AY20" i="1"/>
  <c r="AY21" i="1" s="1"/>
  <c r="AZ20" i="1"/>
  <c r="AZ21" i="1" s="1"/>
  <c r="BA20" i="1"/>
  <c r="BA21" i="1" s="1"/>
  <c r="C9" i="3"/>
  <c r="C10" i="3"/>
  <c r="C11" i="3"/>
  <c r="C26" i="3" s="1"/>
  <c r="C31" i="3" s="1"/>
  <c r="C90" i="1" s="1"/>
  <c r="C13" i="3"/>
  <c r="C12" i="3"/>
  <c r="AH17" i="1"/>
  <c r="AI16" i="1"/>
  <c r="AI17" i="1" s="1"/>
  <c r="AJ16" i="1"/>
  <c r="AJ17" i="1" s="1"/>
  <c r="AK16" i="1"/>
  <c r="AK17" i="1" s="1"/>
  <c r="AL16" i="1"/>
  <c r="AL17" i="1" s="1"/>
  <c r="AM16" i="1"/>
  <c r="AM17" i="1" s="1"/>
  <c r="AN16" i="1"/>
  <c r="AN17" i="1" s="1"/>
  <c r="AO16" i="1"/>
  <c r="AO17" i="1" s="1"/>
  <c r="AP16" i="1"/>
  <c r="AP17" i="1" s="1"/>
  <c r="AQ16" i="1"/>
  <c r="AQ17" i="1" s="1"/>
  <c r="AR16" i="1"/>
  <c r="AR17" i="1" s="1"/>
  <c r="AS16" i="1"/>
  <c r="AS17" i="1" s="1"/>
  <c r="AT16" i="1"/>
  <c r="AT17" i="1" s="1"/>
  <c r="AU16" i="1"/>
  <c r="AU17" i="1" s="1"/>
  <c r="AV16" i="1"/>
  <c r="AV17" i="1" s="1"/>
  <c r="C14" i="1"/>
  <c r="C34" i="1" s="1"/>
  <c r="C139" i="1" s="1"/>
  <c r="AM10" i="1"/>
  <c r="AM11" i="1" s="1"/>
  <c r="AN10" i="1"/>
  <c r="AN11" i="1" s="1"/>
  <c r="AO10" i="1"/>
  <c r="AO11" i="1" s="1"/>
  <c r="AP10" i="1"/>
  <c r="AP11" i="1" s="1"/>
  <c r="AQ10" i="1"/>
  <c r="AQ11" i="1" s="1"/>
  <c r="AR10" i="1"/>
  <c r="AR11" i="1" s="1"/>
  <c r="AS10" i="1"/>
  <c r="AS11" i="1" s="1"/>
  <c r="AT10" i="1"/>
  <c r="AT11" i="1" s="1"/>
  <c r="AU10" i="1"/>
  <c r="AU11" i="1" s="1"/>
  <c r="AV10" i="1"/>
  <c r="AV11" i="1" s="1"/>
  <c r="AW10" i="1"/>
  <c r="AW11" i="1" s="1"/>
  <c r="AX10" i="1"/>
  <c r="AX11" i="1" s="1"/>
  <c r="AY10" i="1"/>
  <c r="AY11" i="1" s="1"/>
  <c r="AZ10" i="1"/>
  <c r="AZ11" i="1" s="1"/>
  <c r="BA10" i="1"/>
  <c r="BA11" i="1" s="1"/>
  <c r="C8" i="2"/>
  <c r="C9" i="2"/>
  <c r="C10" i="2"/>
  <c r="C25" i="2" s="1"/>
  <c r="C30" i="2" s="1"/>
  <c r="C66" i="1" s="1"/>
  <c r="C12" i="2"/>
  <c r="C11" i="2"/>
  <c r="AH12" i="1"/>
  <c r="AH13" i="1" s="1"/>
  <c r="AI12" i="1"/>
  <c r="AI13" i="1" s="1"/>
  <c r="AJ12" i="1"/>
  <c r="AJ13" i="1" s="1"/>
  <c r="AK12" i="1"/>
  <c r="AK13" i="1" s="1"/>
  <c r="AL12" i="1"/>
  <c r="AL13" i="1" s="1"/>
  <c r="AM12" i="1"/>
  <c r="AM13" i="1" s="1"/>
  <c r="AN12" i="1"/>
  <c r="AN13" i="1" s="1"/>
  <c r="AO12" i="1"/>
  <c r="AO13" i="1" s="1"/>
  <c r="AP12" i="1"/>
  <c r="AP13" i="1" s="1"/>
  <c r="AQ12" i="1"/>
  <c r="AQ13" i="1" s="1"/>
  <c r="AR12" i="1"/>
  <c r="AR13" i="1" s="1"/>
  <c r="AS12" i="1"/>
  <c r="AS13" i="1" s="1"/>
  <c r="AT12" i="1"/>
  <c r="AT13" i="1" s="1"/>
  <c r="AU12" i="1"/>
  <c r="AU13" i="1" s="1"/>
  <c r="AV12" i="1"/>
  <c r="AV13" i="1" s="1"/>
  <c r="AW12" i="1"/>
  <c r="AW13" i="1" s="1"/>
  <c r="AX12" i="1"/>
  <c r="AX13" i="1" s="1"/>
  <c r="AY12" i="1"/>
  <c r="AY13" i="1" s="1"/>
  <c r="AZ12" i="1"/>
  <c r="AZ13" i="1" s="1"/>
  <c r="BA12" i="1"/>
  <c r="BA13" i="1" s="1"/>
  <c r="C12" i="5"/>
  <c r="C11" i="5"/>
  <c r="C8" i="5"/>
  <c r="C9" i="5"/>
  <c r="C10" i="5"/>
  <c r="C25" i="5" s="1"/>
  <c r="C30" i="5" s="1"/>
  <c r="C73" i="1" s="1"/>
  <c r="AH14" i="1"/>
  <c r="AH15" i="1" s="1"/>
  <c r="AI14" i="1"/>
  <c r="AI15" i="1" s="1"/>
  <c r="AJ14" i="1"/>
  <c r="AJ15" i="1" s="1"/>
  <c r="AK14" i="1"/>
  <c r="AK15" i="1" s="1"/>
  <c r="AL14" i="1"/>
  <c r="AL15" i="1" s="1"/>
  <c r="AM14" i="1"/>
  <c r="AM15" i="1" s="1"/>
  <c r="AN14" i="1"/>
  <c r="AN15" i="1" s="1"/>
  <c r="AO14" i="1"/>
  <c r="AO15" i="1" s="1"/>
  <c r="AP14" i="1"/>
  <c r="AP15" i="1" s="1"/>
  <c r="AQ14" i="1"/>
  <c r="AQ15" i="1" s="1"/>
  <c r="AR14" i="1"/>
  <c r="AR15" i="1" s="1"/>
  <c r="AS14" i="1"/>
  <c r="AS15" i="1" s="1"/>
  <c r="AT14" i="1"/>
  <c r="AT15" i="1" s="1"/>
  <c r="AU14" i="1"/>
  <c r="AU15" i="1" s="1"/>
  <c r="AV14" i="1"/>
  <c r="AV15" i="1" s="1"/>
  <c r="AW14" i="1"/>
  <c r="AW15" i="1" s="1"/>
  <c r="AX14" i="1"/>
  <c r="AX15" i="1" s="1"/>
  <c r="AY14" i="1"/>
  <c r="AY15" i="1" s="1"/>
  <c r="AZ14" i="1"/>
  <c r="AZ15" i="1" s="1"/>
  <c r="BA14" i="1"/>
  <c r="BA15" i="1" s="1"/>
  <c r="AW16" i="1"/>
  <c r="AW17" i="1" s="1"/>
  <c r="AX16" i="1"/>
  <c r="AX17" i="1" s="1"/>
  <c r="AY16" i="1"/>
  <c r="AY17" i="1" s="1"/>
  <c r="AZ16" i="1"/>
  <c r="AZ17" i="1" s="1"/>
  <c r="BA16" i="1"/>
  <c r="BA17" i="1" s="1"/>
  <c r="C57" i="1" l="1"/>
  <c r="S34" i="1" s="1"/>
  <c r="S35" i="1" s="1"/>
  <c r="P32" i="1"/>
  <c r="P33" i="1" s="1"/>
  <c r="T32" i="1"/>
  <c r="T33" i="1" s="1"/>
  <c r="AB32" i="1"/>
  <c r="AB33" i="1" s="1"/>
  <c r="Q32" i="1"/>
  <c r="Q33" i="1" s="1"/>
  <c r="U32" i="1"/>
  <c r="U33" i="1" s="1"/>
  <c r="Y32" i="1"/>
  <c r="Y33" i="1" s="1"/>
  <c r="N32" i="1"/>
  <c r="N33" i="1" s="1"/>
  <c r="V32" i="1"/>
  <c r="V33" i="1" s="1"/>
  <c r="Z32" i="1"/>
  <c r="Z33" i="1" s="1"/>
  <c r="R32" i="1"/>
  <c r="R33" i="1" s="1"/>
  <c r="O32" i="1"/>
  <c r="O33" i="1" s="1"/>
  <c r="S32" i="1"/>
  <c r="S33" i="1" s="1"/>
  <c r="W32" i="1"/>
  <c r="W33" i="1" s="1"/>
  <c r="AA32" i="1"/>
  <c r="AA33" i="1" s="1"/>
  <c r="X32" i="1"/>
  <c r="X33" i="1" s="1"/>
  <c r="C43" i="1"/>
  <c r="C44" i="1" s="1"/>
  <c r="Z30" i="1" s="1"/>
  <c r="Z31" i="1" s="1"/>
  <c r="C32" i="9"/>
  <c r="D25" i="8"/>
  <c r="C30" i="8"/>
  <c r="C33" i="8" s="1"/>
  <c r="D25" i="7"/>
  <c r="C25" i="7"/>
  <c r="C32" i="7" s="1"/>
  <c r="C83" i="1"/>
  <c r="C124" i="1"/>
  <c r="C107" i="1"/>
  <c r="C97" i="1"/>
  <c r="C131" i="1"/>
  <c r="C114" i="1"/>
  <c r="C7" i="2"/>
  <c r="D24" i="2" s="1"/>
  <c r="C8" i="3"/>
  <c r="D25" i="3" s="1"/>
  <c r="C137" i="1"/>
  <c r="C140" i="1" s="1"/>
  <c r="D34" i="1"/>
  <c r="C7" i="5"/>
  <c r="C29" i="5" s="1"/>
  <c r="C72" i="1" s="1"/>
  <c r="C8" i="6"/>
  <c r="C30" i="6" s="1"/>
  <c r="C91" i="1" l="1"/>
  <c r="C125" i="1"/>
  <c r="Z34" i="1"/>
  <c r="Z35" i="1" s="1"/>
  <c r="Y34" i="1"/>
  <c r="Y35" i="1" s="1"/>
  <c r="X34" i="1"/>
  <c r="X35" i="1" s="1"/>
  <c r="W34" i="1"/>
  <c r="W35" i="1" s="1"/>
  <c r="R34" i="1"/>
  <c r="R35" i="1" s="1"/>
  <c r="Q34" i="1"/>
  <c r="Q35" i="1" s="1"/>
  <c r="P34" i="1"/>
  <c r="P35" i="1" s="1"/>
  <c r="O34" i="1"/>
  <c r="O35" i="1" s="1"/>
  <c r="N34" i="1"/>
  <c r="N35" i="1" s="1"/>
  <c r="AB34" i="1"/>
  <c r="AB35" i="1" s="1"/>
  <c r="AA34" i="1"/>
  <c r="AA35" i="1" s="1"/>
  <c r="V34" i="1"/>
  <c r="V35" i="1" s="1"/>
  <c r="U34" i="1"/>
  <c r="U35" i="1" s="1"/>
  <c r="T34" i="1"/>
  <c r="T35" i="1" s="1"/>
  <c r="P30" i="1"/>
  <c r="P31" i="1" s="1"/>
  <c r="W30" i="1"/>
  <c r="W31" i="1" s="1"/>
  <c r="Y30" i="1"/>
  <c r="Y31" i="1" s="1"/>
  <c r="X30" i="1"/>
  <c r="X31" i="1" s="1"/>
  <c r="Q30" i="1"/>
  <c r="Q31" i="1" s="1"/>
  <c r="O30" i="1"/>
  <c r="O31" i="1" s="1"/>
  <c r="V30" i="1"/>
  <c r="V31" i="1" s="1"/>
  <c r="C51" i="1"/>
  <c r="U30" i="1"/>
  <c r="U31" i="1" s="1"/>
  <c r="T30" i="1"/>
  <c r="T31" i="1" s="1"/>
  <c r="S30" i="1"/>
  <c r="S31" i="1" s="1"/>
  <c r="R30" i="1"/>
  <c r="R31" i="1" s="1"/>
  <c r="N30" i="1"/>
  <c r="N31" i="1" s="1"/>
  <c r="AB30" i="1"/>
  <c r="AB31" i="1" s="1"/>
  <c r="AA30" i="1"/>
  <c r="AA31" i="1" s="1"/>
  <c r="C30" i="3"/>
  <c r="C89" i="1" s="1"/>
  <c r="P10" i="1"/>
  <c r="P11" i="1" s="1"/>
  <c r="N10" i="1"/>
  <c r="N11" i="1" s="1"/>
  <c r="C33" i="7"/>
  <c r="C96" i="1"/>
  <c r="C130" i="1"/>
  <c r="C113" i="1"/>
  <c r="C116" i="1" s="1"/>
  <c r="C25" i="3"/>
  <c r="C32" i="3" s="1"/>
  <c r="C24" i="2"/>
  <c r="C31" i="2" s="1"/>
  <c r="C67" i="1" s="1"/>
  <c r="C29" i="2"/>
  <c r="C65" i="1" s="1"/>
  <c r="C24" i="5"/>
  <c r="C31" i="5" s="1"/>
  <c r="C74" i="1" s="1"/>
  <c r="C75" i="1" s="1"/>
  <c r="D24" i="5"/>
  <c r="AK10" i="1"/>
  <c r="AK11" i="1" s="1"/>
  <c r="AL10" i="1"/>
  <c r="AL11" i="1" s="1"/>
  <c r="U10" i="1"/>
  <c r="U11" i="1" s="1"/>
  <c r="AI10" i="1"/>
  <c r="AI11" i="1" s="1"/>
  <c r="AD10" i="1"/>
  <c r="AD11" i="1" s="1"/>
  <c r="AC10" i="1"/>
  <c r="AC11" i="1" s="1"/>
  <c r="V10" i="1"/>
  <c r="V11" i="1" s="1"/>
  <c r="AA10" i="1"/>
  <c r="AA11" i="1" s="1"/>
  <c r="S10" i="1"/>
  <c r="S11" i="1" s="1"/>
  <c r="AJ10" i="1"/>
  <c r="AJ11" i="1" s="1"/>
  <c r="AB10" i="1"/>
  <c r="AB11" i="1" s="1"/>
  <c r="T10" i="1"/>
  <c r="T11" i="1" s="1"/>
  <c r="AG10" i="1"/>
  <c r="AG11" i="1" s="1"/>
  <c r="Y10" i="1"/>
  <c r="Y11" i="1" s="1"/>
  <c r="Q10" i="1"/>
  <c r="Q11" i="1" s="1"/>
  <c r="AH10" i="1"/>
  <c r="AH11" i="1" s="1"/>
  <c r="Z10" i="1"/>
  <c r="Z11" i="1" s="1"/>
  <c r="R10" i="1"/>
  <c r="R11" i="1" s="1"/>
  <c r="AE10" i="1"/>
  <c r="AE11" i="1" s="1"/>
  <c r="W10" i="1"/>
  <c r="W11" i="1" s="1"/>
  <c r="O10" i="1"/>
  <c r="O11" i="1" s="1"/>
  <c r="AF10" i="1"/>
  <c r="AF11" i="1" s="1"/>
  <c r="X10" i="1"/>
  <c r="X11" i="1" s="1"/>
  <c r="C25" i="6"/>
  <c r="C32" i="6" s="1"/>
  <c r="D25" i="6"/>
  <c r="C98" i="1" l="1"/>
  <c r="C99" i="1" s="1"/>
  <c r="C132" i="1"/>
  <c r="C133" i="1" s="1"/>
  <c r="Q28" i="1" s="1"/>
  <c r="Q29" i="1" s="1"/>
  <c r="C58" i="1"/>
  <c r="C45" i="1"/>
  <c r="C141" i="1"/>
  <c r="C82" i="1"/>
  <c r="C106" i="1"/>
  <c r="C109" i="1" s="1"/>
  <c r="S22" i="1" s="1"/>
  <c r="S23" i="1" s="1"/>
  <c r="C123" i="1"/>
  <c r="C92" i="1"/>
  <c r="AG18" i="1" s="1"/>
  <c r="AB24" i="1"/>
  <c r="AB25" i="1" s="1"/>
  <c r="Y24" i="1"/>
  <c r="Y25" i="1" s="1"/>
  <c r="V24" i="1"/>
  <c r="V25" i="1" s="1"/>
  <c r="O24" i="1"/>
  <c r="O25" i="1" s="1"/>
  <c r="AE24" i="1"/>
  <c r="AE25" i="1" s="1"/>
  <c r="P24" i="1"/>
  <c r="P25" i="1" s="1"/>
  <c r="AF24" i="1"/>
  <c r="AF25" i="1" s="1"/>
  <c r="AC24" i="1"/>
  <c r="AC25" i="1" s="1"/>
  <c r="Z24" i="1"/>
  <c r="Z25" i="1" s="1"/>
  <c r="S24" i="1"/>
  <c r="S25" i="1" s="1"/>
  <c r="T24" i="1"/>
  <c r="T25" i="1" s="1"/>
  <c r="Q24" i="1"/>
  <c r="Q25" i="1" s="1"/>
  <c r="AG24" i="1"/>
  <c r="AG25" i="1" s="1"/>
  <c r="AD24" i="1"/>
  <c r="AD25" i="1" s="1"/>
  <c r="W24" i="1"/>
  <c r="W25" i="1" s="1"/>
  <c r="X24" i="1"/>
  <c r="X25" i="1" s="1"/>
  <c r="U24" i="1"/>
  <c r="U25" i="1" s="1"/>
  <c r="R24" i="1"/>
  <c r="R25" i="1" s="1"/>
  <c r="N24" i="1"/>
  <c r="N25" i="1" s="1"/>
  <c r="AA24" i="1"/>
  <c r="AA25" i="1" s="1"/>
  <c r="C84" i="1"/>
  <c r="C68" i="1"/>
  <c r="C33" i="3"/>
  <c r="C32" i="2"/>
  <c r="C32" i="5"/>
  <c r="C33" i="6"/>
  <c r="O14" i="1"/>
  <c r="O15" i="1" s="1"/>
  <c r="Q14" i="1"/>
  <c r="Q15" i="1" s="1"/>
  <c r="S14" i="1"/>
  <c r="S15" i="1" s="1"/>
  <c r="U14" i="1"/>
  <c r="U15" i="1" s="1"/>
  <c r="W14" i="1"/>
  <c r="W15" i="1" s="1"/>
  <c r="Y14" i="1"/>
  <c r="Y15" i="1" s="1"/>
  <c r="AA14" i="1"/>
  <c r="AA15" i="1" s="1"/>
  <c r="AC14" i="1"/>
  <c r="AC15" i="1" s="1"/>
  <c r="AE14" i="1"/>
  <c r="AE15" i="1" s="1"/>
  <c r="AG14" i="1"/>
  <c r="AG15" i="1" s="1"/>
  <c r="V14" i="1"/>
  <c r="V15" i="1" s="1"/>
  <c r="AB14" i="1"/>
  <c r="AB15" i="1" s="1"/>
  <c r="AF14" i="1"/>
  <c r="AF15" i="1" s="1"/>
  <c r="N14" i="1"/>
  <c r="N15" i="1" s="1"/>
  <c r="P14" i="1"/>
  <c r="P15" i="1" s="1"/>
  <c r="R14" i="1"/>
  <c r="R15" i="1" s="1"/>
  <c r="T14" i="1"/>
  <c r="T15" i="1" s="1"/>
  <c r="X14" i="1"/>
  <c r="X15" i="1" s="1"/>
  <c r="Z14" i="1"/>
  <c r="Z15" i="1" s="1"/>
  <c r="AD14" i="1"/>
  <c r="AD15" i="1" s="1"/>
  <c r="P28" i="1" l="1"/>
  <c r="P29" i="1" s="1"/>
  <c r="Z28" i="1"/>
  <c r="Z29" i="1" s="1"/>
  <c r="AA28" i="1"/>
  <c r="AA29" i="1" s="1"/>
  <c r="R28" i="1"/>
  <c r="R29" i="1" s="1"/>
  <c r="AF28" i="1"/>
  <c r="AF29" i="1" s="1"/>
  <c r="S28" i="1"/>
  <c r="S29" i="1" s="1"/>
  <c r="AC28" i="1"/>
  <c r="AC29" i="1" s="1"/>
  <c r="X28" i="1"/>
  <c r="X29" i="1" s="1"/>
  <c r="N28" i="1"/>
  <c r="N29" i="1" s="1"/>
  <c r="U28" i="1"/>
  <c r="U29" i="1" s="1"/>
  <c r="AB28" i="1"/>
  <c r="AB29" i="1" s="1"/>
  <c r="AE28" i="1"/>
  <c r="AE29" i="1" s="1"/>
  <c r="O28" i="1"/>
  <c r="O29" i="1" s="1"/>
  <c r="V28" i="1"/>
  <c r="V29" i="1" s="1"/>
  <c r="Y28" i="1"/>
  <c r="Y29" i="1" s="1"/>
  <c r="T28" i="1"/>
  <c r="T29" i="1" s="1"/>
  <c r="W28" i="1"/>
  <c r="W29" i="1" s="1"/>
  <c r="AD28" i="1"/>
  <c r="AD29" i="1" s="1"/>
  <c r="AG28" i="1"/>
  <c r="AG29" i="1" s="1"/>
  <c r="AF22" i="1"/>
  <c r="AF23" i="1" s="1"/>
  <c r="O12" i="1"/>
  <c r="O13" i="1" s="1"/>
  <c r="X22" i="1"/>
  <c r="X23" i="1" s="1"/>
  <c r="U22" i="1"/>
  <c r="U23" i="1" s="1"/>
  <c r="O22" i="1"/>
  <c r="O23" i="1" s="1"/>
  <c r="C117" i="1"/>
  <c r="E117" i="1" s="1"/>
  <c r="C85" i="1"/>
  <c r="W16" i="1" s="1"/>
  <c r="W17" i="1" s="1"/>
  <c r="W22" i="1"/>
  <c r="W23" i="1" s="1"/>
  <c r="AA22" i="1"/>
  <c r="AA23" i="1" s="1"/>
  <c r="AC22" i="1"/>
  <c r="AC23" i="1" s="1"/>
  <c r="R22" i="1"/>
  <c r="R23" i="1" s="1"/>
  <c r="Z22" i="1"/>
  <c r="Z23" i="1" s="1"/>
  <c r="P22" i="1"/>
  <c r="P23" i="1" s="1"/>
  <c r="AD22" i="1"/>
  <c r="AD23" i="1" s="1"/>
  <c r="AB22" i="1"/>
  <c r="AB23" i="1" s="1"/>
  <c r="Y22" i="1"/>
  <c r="Y23" i="1" s="1"/>
  <c r="AG22" i="1"/>
  <c r="AG23" i="1" s="1"/>
  <c r="V22" i="1"/>
  <c r="V23" i="1" s="1"/>
  <c r="N22" i="1"/>
  <c r="N23" i="1" s="1"/>
  <c r="AE22" i="1"/>
  <c r="AE23" i="1" s="1"/>
  <c r="T22" i="1"/>
  <c r="T23" i="1" s="1"/>
  <c r="Q22" i="1"/>
  <c r="Q23" i="1" s="1"/>
  <c r="C76" i="1"/>
  <c r="C126" i="1"/>
  <c r="P26" i="1" s="1"/>
  <c r="P27" i="1" s="1"/>
  <c r="AA18" i="1"/>
  <c r="N18" i="1"/>
  <c r="Q18" i="1"/>
  <c r="T18" i="1"/>
  <c r="AD18" i="1"/>
  <c r="AC18" i="1"/>
  <c r="P18" i="1"/>
  <c r="W18" i="1"/>
  <c r="Z18" i="1"/>
  <c r="AF18" i="1"/>
  <c r="V18" i="1"/>
  <c r="Y18" i="1"/>
  <c r="AB18" i="1"/>
  <c r="AE18" i="1"/>
  <c r="O18" i="1"/>
  <c r="S18" i="1"/>
  <c r="R18" i="1"/>
  <c r="U18" i="1"/>
  <c r="X18" i="1"/>
  <c r="R12" i="1"/>
  <c r="R13" i="1" s="1"/>
  <c r="AD12" i="1"/>
  <c r="AD13" i="1" s="1"/>
  <c r="N20" i="1"/>
  <c r="N21" i="1" s="1"/>
  <c r="S16" i="1"/>
  <c r="S17" i="1" s="1"/>
  <c r="AC12" i="1"/>
  <c r="AC13" i="1" s="1"/>
  <c r="AA12" i="1"/>
  <c r="AA13" i="1" s="1"/>
  <c r="T12" i="1"/>
  <c r="T13" i="1" s="1"/>
  <c r="Q12" i="1"/>
  <c r="Q13" i="1" s="1"/>
  <c r="N12" i="1"/>
  <c r="N13" i="1" s="1"/>
  <c r="U12" i="1"/>
  <c r="U13" i="1" s="1"/>
  <c r="V12" i="1"/>
  <c r="V13" i="1" s="1"/>
  <c r="W12" i="1"/>
  <c r="W13" i="1" s="1"/>
  <c r="AG12" i="1"/>
  <c r="AG13" i="1" s="1"/>
  <c r="S12" i="1"/>
  <c r="S13" i="1" s="1"/>
  <c r="Z12" i="1"/>
  <c r="Z13" i="1" s="1"/>
  <c r="AF12" i="1"/>
  <c r="AF13" i="1" s="1"/>
  <c r="AE12" i="1"/>
  <c r="AE13" i="1" s="1"/>
  <c r="X12" i="1"/>
  <c r="X13" i="1" s="1"/>
  <c r="AB12" i="1"/>
  <c r="AB13" i="1" s="1"/>
  <c r="P12" i="1"/>
  <c r="P13" i="1" s="1"/>
  <c r="Y12" i="1"/>
  <c r="Y13" i="1" s="1"/>
  <c r="AE20" i="1"/>
  <c r="AE21" i="1" s="1"/>
  <c r="R20" i="1"/>
  <c r="R21" i="1" s="1"/>
  <c r="O20" i="1"/>
  <c r="O21" i="1" s="1"/>
  <c r="Z20" i="1"/>
  <c r="Z21" i="1" s="1"/>
  <c r="W20" i="1"/>
  <c r="W21" i="1" s="1"/>
  <c r="AG20" i="1"/>
  <c r="AG21" i="1" s="1"/>
  <c r="Q20" i="1"/>
  <c r="Q21" i="1" s="1"/>
  <c r="T20" i="1"/>
  <c r="T21" i="1" s="1"/>
  <c r="Y20" i="1"/>
  <c r="Y21" i="1" s="1"/>
  <c r="AB20" i="1"/>
  <c r="AB21" i="1" s="1"/>
  <c r="AC20" i="1"/>
  <c r="AC21" i="1" s="1"/>
  <c r="U20" i="1"/>
  <c r="U21" i="1" s="1"/>
  <c r="AF20" i="1"/>
  <c r="AF21" i="1" s="1"/>
  <c r="X20" i="1"/>
  <c r="X21" i="1" s="1"/>
  <c r="P20" i="1"/>
  <c r="P21" i="1" s="1"/>
  <c r="AA20" i="1"/>
  <c r="AA21" i="1" s="1"/>
  <c r="S20" i="1"/>
  <c r="S21" i="1" s="1"/>
  <c r="AD20" i="1"/>
  <c r="AD21" i="1" s="1"/>
  <c r="V20" i="1"/>
  <c r="V21" i="1" s="1"/>
  <c r="C134" i="1" l="1"/>
  <c r="E134" i="1" s="1"/>
  <c r="E76" i="1"/>
  <c r="R16" i="1"/>
  <c r="R17" i="1" s="1"/>
  <c r="X16" i="1"/>
  <c r="X17" i="1" s="1"/>
  <c r="AC16" i="1"/>
  <c r="AC17" i="1" s="1"/>
  <c r="Q16" i="1"/>
  <c r="Q17" i="1" s="1"/>
  <c r="AA16" i="1"/>
  <c r="AA17" i="1" s="1"/>
  <c r="AE26" i="1"/>
  <c r="AE27" i="1" s="1"/>
  <c r="AG16" i="1"/>
  <c r="AG17" i="1" s="1"/>
  <c r="P16" i="1"/>
  <c r="P17" i="1" s="1"/>
  <c r="V26" i="1"/>
  <c r="V27" i="1" s="1"/>
  <c r="U16" i="1"/>
  <c r="U17" i="1" s="1"/>
  <c r="Y16" i="1"/>
  <c r="Y17" i="1" s="1"/>
  <c r="AD16" i="1"/>
  <c r="AD17" i="1" s="1"/>
  <c r="Z16" i="1"/>
  <c r="Z17" i="1" s="1"/>
  <c r="T16" i="1"/>
  <c r="T17" i="1" s="1"/>
  <c r="AE16" i="1"/>
  <c r="AE17" i="1" s="1"/>
  <c r="O16" i="1"/>
  <c r="O17" i="1" s="1"/>
  <c r="W26" i="1"/>
  <c r="W27" i="1" s="1"/>
  <c r="AG26" i="1"/>
  <c r="AG27" i="1" s="1"/>
  <c r="O26" i="1"/>
  <c r="O27" i="1" s="1"/>
  <c r="U26" i="1"/>
  <c r="U27" i="1" s="1"/>
  <c r="AF16" i="1"/>
  <c r="AF17" i="1" s="1"/>
  <c r="AB16" i="1"/>
  <c r="AB17" i="1" s="1"/>
  <c r="V16" i="1"/>
  <c r="V17" i="1" s="1"/>
  <c r="N16" i="1"/>
  <c r="N17" i="1" s="1"/>
  <c r="AD26" i="1"/>
  <c r="AD27" i="1" s="1"/>
  <c r="AF26" i="1"/>
  <c r="AF27" i="1" s="1"/>
  <c r="AA26" i="1"/>
  <c r="AA27" i="1" s="1"/>
  <c r="N26" i="1"/>
  <c r="N27" i="1" s="1"/>
  <c r="R26" i="1"/>
  <c r="R27" i="1" s="1"/>
  <c r="Q26" i="1"/>
  <c r="Q27" i="1" s="1"/>
  <c r="S26" i="1"/>
  <c r="S27" i="1" s="1"/>
  <c r="Z26" i="1"/>
  <c r="Z27" i="1" s="1"/>
  <c r="AC26" i="1"/>
  <c r="AC27" i="1" s="1"/>
  <c r="C110" i="1"/>
  <c r="E110" i="1" s="1"/>
  <c r="Y26" i="1"/>
  <c r="Y27" i="1" s="1"/>
  <c r="AB26" i="1"/>
  <c r="AB27" i="1" s="1"/>
  <c r="C100" i="1"/>
  <c r="E100" i="1" s="1"/>
  <c r="X26" i="1"/>
  <c r="X27" i="1" s="1"/>
  <c r="T26" i="1"/>
  <c r="T27" i="1" s="1"/>
  <c r="C69" i="1"/>
  <c r="E69" i="1" s="1"/>
  <c r="C86" i="1" l="1"/>
  <c r="E86" i="1" s="1"/>
  <c r="C127" i="1"/>
  <c r="E127" i="1" s="1"/>
  <c r="AG19" i="1"/>
  <c r="AC19" i="1"/>
  <c r="Y19" i="1"/>
  <c r="U19" i="1"/>
  <c r="Q19" i="1"/>
  <c r="AF19" i="1"/>
  <c r="AB19" i="1"/>
  <c r="X19" i="1"/>
  <c r="T19" i="1"/>
  <c r="P19" i="1"/>
  <c r="AE19" i="1"/>
  <c r="W19" i="1"/>
  <c r="O19" i="1"/>
  <c r="AA19" i="1"/>
  <c r="S19" i="1"/>
  <c r="AD19" i="1"/>
  <c r="Z19" i="1"/>
  <c r="V19" i="1"/>
  <c r="R19" i="1"/>
  <c r="N19" i="1"/>
  <c r="C93" i="1" l="1"/>
  <c r="E93" i="1" s="1"/>
</calcChain>
</file>

<file path=xl/comments1.xml><?xml version="1.0" encoding="utf-8"?>
<comments xmlns="http://schemas.openxmlformats.org/spreadsheetml/2006/main">
  <authors>
    <author>Martin Bölli</author>
  </authors>
  <commentList>
    <comment ref="A108" authorId="0">
      <text>
        <r>
          <rPr>
            <b/>
            <sz val="9"/>
            <color indexed="81"/>
            <rFont val="Tahoma"/>
            <family val="2"/>
          </rPr>
          <t>Martin Bölli:</t>
        </r>
        <r>
          <rPr>
            <sz val="9"/>
            <color indexed="81"/>
            <rFont val="Tahoma"/>
            <family val="2"/>
          </rPr>
          <t xml:space="preserve">
Kein Anspruch</t>
        </r>
      </text>
    </comment>
    <comment ref="A115" authorId="0">
      <text>
        <r>
          <rPr>
            <b/>
            <sz val="9"/>
            <color indexed="81"/>
            <rFont val="Tahoma"/>
            <family val="2"/>
          </rPr>
          <t>Martin Bölli:</t>
        </r>
        <r>
          <rPr>
            <sz val="9"/>
            <color indexed="81"/>
            <rFont val="Tahoma"/>
            <family val="2"/>
          </rPr>
          <t xml:space="preserve">
Kein Anspruch</t>
        </r>
      </text>
    </comment>
  </commentList>
</comments>
</file>

<file path=xl/sharedStrings.xml><?xml version="1.0" encoding="utf-8"?>
<sst xmlns="http://schemas.openxmlformats.org/spreadsheetml/2006/main" count="575" uniqueCount="94">
  <si>
    <t>Äquivalente Leistung [kW]:</t>
  </si>
  <si>
    <t>≤</t>
  </si>
  <si>
    <t>Brutto-Fallhöhe [m]</t>
  </si>
  <si>
    <t>Attraktivitäsfaktor</t>
  </si>
  <si>
    <t>(&lt;15: teure Energie; &gt;100: billige Energie)</t>
  </si>
  <si>
    <t>Boni [Rp./kWh]:</t>
  </si>
  <si>
    <t>&gt;</t>
  </si>
  <si>
    <t>Druckstufe (DS)</t>
  </si>
  <si>
    <t>Fallhöhen-Bonus [Rp./kWh]</t>
  </si>
  <si>
    <t>Äq. Leistung [kW]</t>
  </si>
  <si>
    <t>Wasserbau (WB)</t>
  </si>
  <si>
    <t>Wasserbau-Bonus [Rp./kWh]</t>
  </si>
  <si>
    <t>Berechnete Boni:</t>
  </si>
  <si>
    <t>WB</t>
  </si>
  <si>
    <t>DS</t>
  </si>
  <si>
    <t>TOTAL [Rp./kWh]</t>
  </si>
  <si>
    <t>kWh</t>
  </si>
  <si>
    <t>kW</t>
  </si>
  <si>
    <t>h</t>
  </si>
  <si>
    <t>m</t>
  </si>
  <si>
    <t>CHF</t>
  </si>
  <si>
    <t>Äquivalente Leistung / Puissance equivalent / Potenza equivalente</t>
  </si>
  <si>
    <t>Jahresproduktion / production annuelle / Produzione annua</t>
  </si>
  <si>
    <t>Zeitstunden pro Kalenderjahr / heures par ans / Ore annue d'esercizio</t>
  </si>
  <si>
    <t>Brutto-Fallhöhe / chute brut / Salto lordo</t>
  </si>
  <si>
    <t>Gesamtinvestition / investition totale / Investimento totale</t>
  </si>
  <si>
    <t>Wasserbaukosten / part de l'aménagement des eaux / Costi opere idrauliche</t>
  </si>
  <si>
    <t>Berechnung der Vergütung / Calcul / Calcolo della rimunerazione RIC</t>
  </si>
  <si>
    <t>Grundvergütung / rétribution de base / Rimunerazione di base:</t>
  </si>
  <si>
    <t>Druckstufenbonus / Bonus de niveau de pression / Bonus di dislivello</t>
  </si>
  <si>
    <t>Wasserbaubonus / Bonus d'aménagement des eaux / Bonus per le opere idrauliche</t>
  </si>
  <si>
    <t>Rp./kWh / cts./kWh</t>
  </si>
  <si>
    <t>Erklärungen: / Spiegazioni:</t>
  </si>
  <si>
    <t>Eingabefelder / Campi dati da registrare</t>
  </si>
  <si>
    <t>Berechnungshilfe kostendeckende Einspeisevergütung KEV - Kleinwasserkraft - Entwurf EnV (Kategorie 1 Fliessgewässer)</t>
  </si>
  <si>
    <t>Berechnungshilfe kostendeckende Einspeisevergütung KEV - Kleinwasserkraft - Entwurf EnV (Kategorie 2 Nebennutzungen)</t>
  </si>
  <si>
    <t>Jahre</t>
  </si>
  <si>
    <t>Annahme Marktpreis in 20 Jahren (Standard-Annahme: ca. 8 Rp./kWh inkl. Ökobonus)</t>
  </si>
  <si>
    <t>Sofern das BFE die Richtlinie Kleinwasserkraft nicht ändert, ist davon auszugehen, dass die berechneten Tarife inkl. MWSt sind.</t>
  </si>
  <si>
    <t>Annahme WACC (gemäss Richtlinie KWKW BFE)</t>
  </si>
  <si>
    <t>Abschreibedauer (gemäss Richtlinie KWKW BFE)</t>
  </si>
  <si>
    <t>Ab 2017</t>
  </si>
  <si>
    <t>Bis 2016</t>
  </si>
  <si>
    <t>Fallhöhen-Bonus [Rp./kWh] bis 2016</t>
  </si>
  <si>
    <t>Wasserbau-Bonus [Rp./kWh] bis 2016</t>
  </si>
  <si>
    <t>vor 2013</t>
  </si>
  <si>
    <t>2014 - 2016 Kat 1</t>
  </si>
  <si>
    <t>Berechnungshilfe kostendeckende Einspeisevergütung KEV - Kleinwasserkraft - Entwurf EnV (Kategorie 1 Fliessgewässer) ab 2017</t>
  </si>
  <si>
    <t>www.swissmallhydro.ch</t>
  </si>
  <si>
    <t>ab 2017 Kat 1</t>
  </si>
  <si>
    <t>Berechnungshilfe kostendeckende Einspeisevergütung KEV - Kleinwasserkraft - Entwurf EnV (Kategorie 2 Nebennutzungen) ab 2017</t>
  </si>
  <si>
    <t>KEV / RPC (25 Jahre / 25 ans)</t>
  </si>
  <si>
    <t>KEV / RPC (20 Jahre / 20 ans)</t>
  </si>
  <si>
    <t>Inbetriebnahme vor 31.12.2013 / Mis en Service avant 31.12.2013</t>
  </si>
  <si>
    <t>(Projektname hier eingeben / Entrez le nom du projet ici)</t>
  </si>
  <si>
    <t>Jahresproduktion / Production annuelle / Produzione annua</t>
  </si>
  <si>
    <t>Äquivalente Leistung / Puissance equivalente / Potenza equivalente</t>
  </si>
  <si>
    <t>Zeitstunden pro Kalenderjahr / heures par an / Ore annue d'esercizio</t>
  </si>
  <si>
    <t>Brutto-Fallhöhe / chute brute / Salto lordo</t>
  </si>
  <si>
    <t>Gesamtinvestition / investissement total / Investimento totale</t>
  </si>
  <si>
    <t>Mittl. Vergütung (diskontiert) / Rémunération moyenne escomptée</t>
  </si>
  <si>
    <t>Aide pour le calcul du tarif selon OEne - petites centrales hydrauliques</t>
  </si>
  <si>
    <t xml:space="preserve">Dieses Tool wurde vom Swiss Small Hydro entwickelt und unentgeltlich zur Verfügung gestellt und dient als Hilfe zur Berechnung des Einspeisetarifs für Kleinwasserkraftwerke (gemäss Energieverordnung vom 01.01.2017). Die  Verwendung dieser Berechnungshilfe erfolgt auf Risiko des Benutzers. Bitte melden Sie Fehler / Verbesserungsvorschläge an die Infostelle Kleinwasserkraft (info@swissmallhydro.ch)
</t>
  </si>
  <si>
    <t>Inbetriebnahme zwischen / Mise en service entre 01.01.2014 - 31.12.2016</t>
  </si>
  <si>
    <t>Inbetriebnahme ab 01.01.2017 / Mise en service dès le 01.01.2017</t>
  </si>
  <si>
    <t>ab 2017 Kat 2 NN</t>
  </si>
  <si>
    <t>2014 - 2016 Kat 2 Dot</t>
  </si>
  <si>
    <t>ab 2017 Kat 2 Dot</t>
  </si>
  <si>
    <t>2014 - 2016 Kat 2 Rest</t>
  </si>
  <si>
    <t xml:space="preserve">Inbetriebnahme zwischen / Mise en service entre 01.01.2014 - 31.12.2016 </t>
  </si>
  <si>
    <t>(und Übergangsbestimmungen EnV Anhang 1.1, Ziff 7 bis 9 / plus dipositions transitoires OEn Appendice 1.1 Chiff 7, 8 et 9)</t>
  </si>
  <si>
    <t>Inbetriebnahme zwischen / Mise en service entre 01.01.2014 - 31.12.2015</t>
  </si>
  <si>
    <t>(und Übergangsbestimmungen EnV Anhang 1.1, Ziff 7, 8 und 9 / plus dipositions transitoires OEn Appendice 1.1 Chiff 7, 8 et 9)</t>
  </si>
  <si>
    <t>(und Übergangsbestimmungen EnV Anhang 1.1, Ziff 7 und 9 / plus dipositions transitoires OEn Appendice 1.1 Chiff 7 et 9)</t>
  </si>
  <si>
    <t>Inbetriebnahme 2016 / Mise en service 2016</t>
  </si>
  <si>
    <t>2014 - 2015 Kat 2 NN</t>
  </si>
  <si>
    <t>2016 Kat 2 NN</t>
  </si>
  <si>
    <t>Energiestrategie 2050 / Stratégie énergétique 2050:</t>
  </si>
  <si>
    <t>Berechnungshilfe kostendeckende Einspeisevergütung KEV - Kleinwasserkraft - ES2050</t>
  </si>
  <si>
    <t xml:space="preserve"> 2017 Kat 2 Rest</t>
  </si>
  <si>
    <t>ab 2017 ES2050</t>
  </si>
  <si>
    <t>KEV Kategorie 1 / RPC Catégorie 1:</t>
  </si>
  <si>
    <t>KEV Kategorie 2: Nebennutzungen / RPC Catégorie 2: installations d'exploitation accessoire</t>
  </si>
  <si>
    <t>KEV Kategorie 2: Dotierwasserkraftwerke / RPC Catégorie 2: Centrales de dotation</t>
  </si>
  <si>
    <t>KEV Kategorie 2: Übrige / RPC Catégorie 2: restante</t>
  </si>
  <si>
    <t>Dotierkraftwerke:</t>
  </si>
  <si>
    <t>Nebennutzungskraftwerke:</t>
  </si>
  <si>
    <t>ab 2017 ES2050 Dotier</t>
  </si>
  <si>
    <t>ab 2017 ES2050 NN</t>
  </si>
  <si>
    <t xml:space="preserve">Vernehmlassung EnFV 01.01.2018 </t>
  </si>
  <si>
    <t>Berechnungshilfe Einspeisevergütung - Kleinwasserkraft</t>
  </si>
  <si>
    <t>Tabella di calcolo della Rimunerazione per l'immissione di energia elettrica - Piccole centrali idroelettriche</t>
  </si>
  <si>
    <t>KEV / RPC (15 Jahre / 15 ans)</t>
  </si>
  <si>
    <t xml:space="preserve">Version 06.03.2017 © Swiss Small Hydro (www.swissmallhydro.ch)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</si>
</sst>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quot;SFr.&quot;\ #,##0.00"/>
    <numFmt numFmtId="167" formatCode="0.0%"/>
  </numFmts>
  <fonts count="20" x14ac:knownFonts="1">
    <font>
      <sz val="10"/>
      <name val="Arial"/>
    </font>
    <font>
      <b/>
      <sz val="14"/>
      <name val="Arial"/>
      <family val="2"/>
    </font>
    <font>
      <sz val="10"/>
      <name val="Arial"/>
      <family val="2"/>
    </font>
    <font>
      <b/>
      <sz val="10"/>
      <name val="Arial"/>
      <family val="2"/>
    </font>
    <font>
      <i/>
      <sz val="10"/>
      <name val="Arial"/>
      <family val="2"/>
    </font>
    <font>
      <sz val="8"/>
      <name val="Arial"/>
      <family val="2"/>
    </font>
    <font>
      <b/>
      <sz val="8"/>
      <name val="Arial"/>
      <family val="2"/>
    </font>
    <font>
      <sz val="6"/>
      <name val="Arial"/>
      <family val="2"/>
    </font>
    <font>
      <b/>
      <sz val="6"/>
      <name val="Arial"/>
      <family val="2"/>
    </font>
    <font>
      <b/>
      <sz val="11"/>
      <name val="Arial"/>
      <family val="2"/>
    </font>
    <font>
      <sz val="11"/>
      <name val="Arial"/>
      <family val="2"/>
    </font>
    <font>
      <b/>
      <sz val="12"/>
      <name val="Arial"/>
      <family val="2"/>
    </font>
    <font>
      <u/>
      <sz val="10"/>
      <color theme="10"/>
      <name val="Arial"/>
      <family val="2"/>
    </font>
    <font>
      <b/>
      <u/>
      <sz val="12"/>
      <color theme="1" tint="0.34998626667073579"/>
      <name val="Arial"/>
      <family val="2"/>
    </font>
    <font>
      <sz val="10"/>
      <color theme="1" tint="0.34998626667073579"/>
      <name val="Arial"/>
      <family val="2"/>
    </font>
    <font>
      <b/>
      <sz val="10"/>
      <color theme="1" tint="0.34998626667073579"/>
      <name val="Arial"/>
      <family val="2"/>
    </font>
    <font>
      <b/>
      <sz val="12"/>
      <color theme="1" tint="0.34998626667073579"/>
      <name val="Arial"/>
      <family val="2"/>
    </font>
    <font>
      <sz val="9"/>
      <color indexed="81"/>
      <name val="Tahoma"/>
      <family val="2"/>
    </font>
    <font>
      <b/>
      <sz val="9"/>
      <color indexed="81"/>
      <name val="Tahoma"/>
      <family val="2"/>
    </font>
    <font>
      <strike/>
      <sz val="10"/>
      <name val="Arial"/>
      <family val="2"/>
    </font>
  </fonts>
  <fills count="13">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53"/>
        <bgColor indexed="64"/>
      </patternFill>
    </fill>
    <fill>
      <patternFill patternType="solid">
        <fgColor indexed="4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248">
    <xf numFmtId="0" fontId="0" fillId="0" borderId="0" xfId="0"/>
    <xf numFmtId="3" fontId="0" fillId="2" borderId="0" xfId="0" applyNumberFormat="1" applyFill="1" applyProtection="1">
      <protection locked="0"/>
    </xf>
    <xf numFmtId="4" fontId="0" fillId="2" borderId="0" xfId="0" applyNumberFormat="1" applyFill="1" applyProtection="1">
      <protection locked="0"/>
    </xf>
    <xf numFmtId="0" fontId="0" fillId="0" borderId="0" xfId="0" applyFill="1" applyAlignment="1" applyProtection="1">
      <alignment horizontal="center"/>
    </xf>
    <xf numFmtId="0" fontId="1" fillId="0" borderId="0" xfId="0" applyFont="1" applyProtection="1"/>
    <xf numFmtId="0" fontId="0" fillId="0" borderId="0" xfId="0" applyProtection="1"/>
    <xf numFmtId="0" fontId="3" fillId="0" borderId="0" xfId="0" applyFont="1" applyProtection="1"/>
    <xf numFmtId="164" fontId="0" fillId="3" borderId="0" xfId="0" applyNumberFormat="1" applyFill="1" applyProtection="1"/>
    <xf numFmtId="0" fontId="0" fillId="0" borderId="0" xfId="0" applyFill="1" applyProtection="1"/>
    <xf numFmtId="3" fontId="0" fillId="0" borderId="0" xfId="0" applyNumberFormat="1" applyFill="1" applyProtection="1"/>
    <xf numFmtId="4" fontId="0" fillId="3" borderId="0" xfId="0" applyNumberFormat="1" applyFill="1" applyProtection="1"/>
    <xf numFmtId="4" fontId="0" fillId="0" borderId="0" xfId="0" applyNumberFormat="1" applyFill="1" applyProtection="1"/>
    <xf numFmtId="4" fontId="0" fillId="3" borderId="1" xfId="0" applyNumberFormat="1" applyFill="1" applyBorder="1" applyProtection="1"/>
    <xf numFmtId="2" fontId="0" fillId="0" borderId="0" xfId="0" applyNumberFormat="1" applyProtection="1"/>
    <xf numFmtId="0" fontId="4" fillId="0" borderId="0" xfId="0" applyFont="1" applyProtection="1"/>
    <xf numFmtId="0" fontId="0" fillId="2" borderId="0" xfId="0" applyFill="1" applyProtection="1"/>
    <xf numFmtId="0" fontId="2" fillId="0" borderId="0" xfId="0" applyFont="1" applyProtection="1">
      <protection hidden="1"/>
    </xf>
    <xf numFmtId="0" fontId="0" fillId="0" borderId="0" xfId="0" applyProtection="1">
      <protection hidden="1"/>
    </xf>
    <xf numFmtId="0" fontId="0" fillId="0" borderId="0" xfId="0" applyAlignment="1" applyProtection="1">
      <alignment horizontal="right"/>
      <protection hidden="1"/>
    </xf>
    <xf numFmtId="3" fontId="0" fillId="5" borderId="0" xfId="0" applyNumberFormat="1" applyFill="1" applyProtection="1">
      <protection hidden="1"/>
    </xf>
    <xf numFmtId="0" fontId="0" fillId="5" borderId="0" xfId="0" applyFill="1" applyProtection="1">
      <protection hidden="1"/>
    </xf>
    <xf numFmtId="0" fontId="3" fillId="0" borderId="0" xfId="0" applyFont="1" applyFill="1" applyProtection="1">
      <protection hidden="1"/>
    </xf>
    <xf numFmtId="0" fontId="0" fillId="0" borderId="0" xfId="0" applyFill="1" applyProtection="1">
      <protection hidden="1"/>
    </xf>
    <xf numFmtId="165" fontId="0" fillId="0" borderId="0" xfId="0" applyNumberFormat="1" applyFill="1" applyProtection="1">
      <protection hidden="1"/>
    </xf>
    <xf numFmtId="3" fontId="0" fillId="0" borderId="0" xfId="0" applyNumberFormat="1" applyFill="1" applyProtection="1">
      <protection hidden="1"/>
    </xf>
    <xf numFmtId="0" fontId="4" fillId="0" borderId="0" xfId="0" applyFont="1" applyFill="1" applyProtection="1">
      <protection hidden="1"/>
    </xf>
    <xf numFmtId="0" fontId="0" fillId="0" borderId="1" xfId="0" applyBorder="1" applyProtection="1">
      <protection hidden="1"/>
    </xf>
    <xf numFmtId="0" fontId="0" fillId="0" borderId="1" xfId="0" applyBorder="1" applyAlignment="1" applyProtection="1">
      <alignment horizontal="right"/>
      <protection hidden="1"/>
    </xf>
    <xf numFmtId="0" fontId="3" fillId="5" borderId="1" xfId="0" applyFont="1" applyFill="1" applyBorder="1" applyProtection="1">
      <protection hidden="1"/>
    </xf>
    <xf numFmtId="0" fontId="0" fillId="5" borderId="1" xfId="0" applyFill="1" applyBorder="1" applyProtection="1">
      <protection hidden="1"/>
    </xf>
    <xf numFmtId="0" fontId="2" fillId="0" borderId="1" xfId="0" applyFont="1" applyBorder="1" applyAlignment="1" applyProtection="1">
      <alignment vertical="top" wrapText="1"/>
      <protection hidden="1"/>
    </xf>
    <xf numFmtId="0" fontId="2" fillId="5" borderId="1" xfId="0" applyFont="1" applyFill="1" applyBorder="1" applyAlignment="1" applyProtection="1">
      <alignment vertical="top" wrapText="1"/>
      <protection hidden="1"/>
    </xf>
    <xf numFmtId="166" fontId="0" fillId="0" borderId="0" xfId="0" applyNumberFormat="1" applyProtection="1">
      <protection hidden="1"/>
    </xf>
    <xf numFmtId="0" fontId="2" fillId="0" borderId="0" xfId="0" applyFont="1" applyFill="1" applyProtection="1">
      <protection hidden="1"/>
    </xf>
    <xf numFmtId="0" fontId="3" fillId="0" borderId="0" xfId="0" applyFont="1" applyProtection="1">
      <protection hidden="1"/>
    </xf>
    <xf numFmtId="0" fontId="0" fillId="0" borderId="0" xfId="0" applyFill="1" applyAlignment="1" applyProtection="1">
      <alignment horizontal="center"/>
      <protection hidden="1"/>
    </xf>
    <xf numFmtId="0" fontId="0" fillId="0" borderId="0" xfId="0" applyAlignment="1" applyProtection="1">
      <alignment wrapText="1"/>
    </xf>
    <xf numFmtId="4" fontId="3" fillId="4" borderId="2" xfId="0" applyNumberFormat="1" applyFont="1" applyFill="1" applyBorder="1" applyProtection="1"/>
    <xf numFmtId="0" fontId="3" fillId="0" borderId="2" xfId="0" applyFont="1" applyBorder="1" applyProtection="1"/>
    <xf numFmtId="0" fontId="0" fillId="0" borderId="2" xfId="0" applyFill="1" applyBorder="1" applyProtection="1"/>
    <xf numFmtId="0" fontId="6" fillId="0" borderId="0" xfId="0" applyFont="1" applyProtection="1"/>
    <xf numFmtId="0" fontId="5" fillId="0" borderId="0" xfId="0" applyFont="1" applyAlignment="1" applyProtection="1">
      <alignment wrapText="1"/>
    </xf>
    <xf numFmtId="0" fontId="0" fillId="0" borderId="0" xfId="0" applyAlignment="1"/>
    <xf numFmtId="0" fontId="7" fillId="0" borderId="0" xfId="0" applyFont="1" applyAlignment="1">
      <alignment horizontal="left" vertical="top"/>
    </xf>
    <xf numFmtId="0" fontId="7" fillId="0" borderId="0" xfId="0" applyFont="1" applyAlignment="1" applyProtection="1">
      <alignment horizontal="left" vertical="top"/>
    </xf>
    <xf numFmtId="0" fontId="8" fillId="0" borderId="0" xfId="0" applyFont="1" applyAlignment="1" applyProtection="1">
      <alignment horizontal="left" vertical="top"/>
    </xf>
    <xf numFmtId="0" fontId="2" fillId="0" borderId="0" xfId="0" applyFont="1" applyProtection="1"/>
    <xf numFmtId="3" fontId="0" fillId="6" borderId="0" xfId="0" applyNumberFormat="1" applyFill="1" applyProtection="1"/>
    <xf numFmtId="0" fontId="0" fillId="0" borderId="0" xfId="0" applyFont="1" applyProtection="1"/>
    <xf numFmtId="0" fontId="0" fillId="0" borderId="0" xfId="0" applyAlignment="1" applyProtection="1">
      <alignment vertical="center"/>
    </xf>
    <xf numFmtId="0" fontId="7" fillId="0" borderId="0" xfId="0" applyFont="1" applyAlignment="1">
      <alignment horizontal="left" vertical="top"/>
    </xf>
    <xf numFmtId="0" fontId="10" fillId="0" borderId="0" xfId="0" applyFont="1" applyAlignment="1"/>
    <xf numFmtId="0" fontId="0" fillId="0" borderId="1" xfId="0" applyFill="1" applyBorder="1" applyProtection="1">
      <protection hidden="1"/>
    </xf>
    <xf numFmtId="4" fontId="2" fillId="0" borderId="1" xfId="0" applyNumberFormat="1" applyFont="1" applyFill="1" applyBorder="1" applyAlignment="1" applyProtection="1">
      <alignment vertical="center"/>
      <protection hidden="1"/>
    </xf>
    <xf numFmtId="3" fontId="0" fillId="0" borderId="1" xfId="0" applyNumberFormat="1" applyFill="1" applyBorder="1" applyAlignment="1" applyProtection="1">
      <alignment vertical="center"/>
    </xf>
    <xf numFmtId="0" fontId="0" fillId="0" borderId="1" xfId="0" applyFill="1" applyBorder="1" applyAlignment="1" applyProtection="1">
      <alignment vertical="center"/>
      <protection hidden="1"/>
    </xf>
    <xf numFmtId="4" fontId="0" fillId="0" borderId="1" xfId="0" applyNumberFormat="1" applyBorder="1" applyAlignment="1" applyProtection="1">
      <alignment vertical="center"/>
    </xf>
    <xf numFmtId="164" fontId="0" fillId="2" borderId="0" xfId="0" applyNumberFormat="1" applyFill="1" applyProtection="1">
      <protection locked="0"/>
    </xf>
    <xf numFmtId="0" fontId="11" fillId="0" borderId="0" xfId="0" applyFont="1" applyAlignment="1">
      <alignment horizontal="center" vertical="center"/>
    </xf>
    <xf numFmtId="0" fontId="0" fillId="0" borderId="0" xfId="0" applyFill="1" applyAlignment="1" applyProtection="1">
      <alignment vertical="center"/>
      <protection hidden="1"/>
    </xf>
    <xf numFmtId="3" fontId="11" fillId="0" borderId="0" xfId="0" applyNumberFormat="1" applyFont="1" applyFill="1" applyAlignment="1" applyProtection="1">
      <alignment horizontal="center" vertical="center"/>
    </xf>
    <xf numFmtId="0" fontId="7" fillId="0" borderId="0" xfId="0" applyNumberFormat="1" applyFont="1" applyAlignment="1" applyProtection="1">
      <alignment horizontal="left" vertical="top" wrapText="1"/>
    </xf>
    <xf numFmtId="0" fontId="7" fillId="0" borderId="0" xfId="0" applyFont="1" applyAlignment="1">
      <alignment horizontal="left" vertical="top" wrapText="1"/>
    </xf>
    <xf numFmtId="10" fontId="0" fillId="0" borderId="0" xfId="0" applyNumberFormat="1" applyFill="1" applyProtection="1"/>
    <xf numFmtId="0" fontId="0" fillId="0" borderId="0" xfId="0" applyAlignment="1" applyProtection="1">
      <alignment horizontal="right"/>
    </xf>
    <xf numFmtId="0" fontId="12" fillId="0" borderId="0" xfId="1" applyAlignment="1" applyProtection="1">
      <alignment horizontal="right"/>
      <protection hidden="1"/>
    </xf>
    <xf numFmtId="3" fontId="2" fillId="2" borderId="0" xfId="0" applyNumberFormat="1" applyFont="1" applyFill="1" applyProtection="1">
      <protection locked="0"/>
    </xf>
    <xf numFmtId="0" fontId="0" fillId="7" borderId="6" xfId="0" applyFill="1" applyBorder="1" applyProtection="1"/>
    <xf numFmtId="0" fontId="0" fillId="7" borderId="0" xfId="0" applyFill="1" applyBorder="1" applyProtection="1"/>
    <xf numFmtId="4" fontId="0" fillId="7" borderId="0" xfId="0" applyNumberFormat="1" applyFill="1" applyBorder="1" applyProtection="1"/>
    <xf numFmtId="2" fontId="0" fillId="7" borderId="0" xfId="0" applyNumberFormat="1" applyFill="1" applyBorder="1" applyProtection="1"/>
    <xf numFmtId="0" fontId="0" fillId="7" borderId="7" xfId="0" applyFill="1" applyBorder="1" applyAlignment="1" applyProtection="1">
      <alignment horizontal="right"/>
      <protection hidden="1"/>
    </xf>
    <xf numFmtId="0" fontId="0" fillId="7" borderId="8" xfId="0" applyFill="1" applyBorder="1" applyAlignment="1" applyProtection="1">
      <alignment wrapText="1"/>
    </xf>
    <xf numFmtId="0" fontId="0" fillId="7" borderId="9" xfId="0" applyFill="1" applyBorder="1" applyProtection="1"/>
    <xf numFmtId="4" fontId="0" fillId="7" borderId="9" xfId="0" applyNumberFormat="1" applyFill="1" applyBorder="1" applyProtection="1"/>
    <xf numFmtId="0" fontId="3" fillId="7" borderId="11" xfId="0" applyFont="1" applyFill="1" applyBorder="1" applyAlignment="1" applyProtection="1">
      <alignment vertical="center"/>
    </xf>
    <xf numFmtId="0" fontId="0" fillId="7" borderId="2" xfId="0" applyFill="1" applyBorder="1" applyAlignment="1" applyProtection="1">
      <alignment vertical="center"/>
    </xf>
    <xf numFmtId="4" fontId="11" fillId="7" borderId="2" xfId="0" applyNumberFormat="1" applyFont="1" applyFill="1" applyBorder="1" applyAlignment="1" applyProtection="1">
      <alignment vertical="center"/>
    </xf>
    <xf numFmtId="0" fontId="3" fillId="7" borderId="0" xfId="0" applyFont="1" applyFill="1" applyBorder="1" applyAlignment="1" applyProtection="1">
      <alignment vertical="center"/>
    </xf>
    <xf numFmtId="0" fontId="2" fillId="7" borderId="0" xfId="0" applyFont="1" applyFill="1" applyBorder="1" applyAlignment="1" applyProtection="1">
      <alignment vertical="center"/>
    </xf>
    <xf numFmtId="0" fontId="2" fillId="7" borderId="8" xfId="0" quotePrefix="1" applyFont="1" applyFill="1" applyBorder="1" applyAlignment="1" applyProtection="1">
      <alignment vertical="center"/>
    </xf>
    <xf numFmtId="0" fontId="3" fillId="7" borderId="9" xfId="0" applyFont="1" applyFill="1" applyBorder="1" applyAlignment="1" applyProtection="1">
      <alignment vertical="center"/>
    </xf>
    <xf numFmtId="4" fontId="2" fillId="7" borderId="9" xfId="0" applyNumberFormat="1" applyFont="1" applyFill="1" applyBorder="1" applyAlignment="1" applyProtection="1">
      <alignment vertical="center"/>
    </xf>
    <xf numFmtId="0" fontId="2" fillId="7" borderId="9" xfId="0" applyFont="1" applyFill="1" applyBorder="1" applyAlignment="1" applyProtection="1">
      <alignment vertical="center"/>
    </xf>
    <xf numFmtId="0" fontId="0" fillId="8" borderId="6" xfId="0" applyFill="1" applyBorder="1" applyProtection="1"/>
    <xf numFmtId="0" fontId="0" fillId="8" borderId="0" xfId="0" applyFill="1" applyBorder="1" applyProtection="1"/>
    <xf numFmtId="4" fontId="0" fillId="8" borderId="0" xfId="0" applyNumberFormat="1" applyFill="1" applyBorder="1" applyProtection="1"/>
    <xf numFmtId="2" fontId="0" fillId="8" borderId="0" xfId="0" applyNumberFormat="1" applyFill="1" applyBorder="1" applyProtection="1"/>
    <xf numFmtId="0" fontId="0" fillId="8" borderId="7" xfId="0" applyFill="1" applyBorder="1" applyAlignment="1" applyProtection="1">
      <alignment horizontal="right"/>
      <protection hidden="1"/>
    </xf>
    <xf numFmtId="0" fontId="0" fillId="8" borderId="8" xfId="0" applyFill="1" applyBorder="1" applyAlignment="1" applyProtection="1">
      <alignment wrapText="1"/>
    </xf>
    <xf numFmtId="0" fontId="0" fillId="8" borderId="9" xfId="0" applyFill="1" applyBorder="1" applyProtection="1"/>
    <xf numFmtId="4" fontId="0" fillId="8" borderId="9" xfId="0" applyNumberFormat="1" applyFill="1" applyBorder="1" applyProtection="1"/>
    <xf numFmtId="0" fontId="3" fillId="8" borderId="11" xfId="0" applyFont="1" applyFill="1" applyBorder="1" applyAlignment="1" applyProtection="1">
      <alignment vertical="center"/>
    </xf>
    <xf numFmtId="0" fontId="0" fillId="8" borderId="2" xfId="0" applyFill="1" applyBorder="1" applyAlignment="1" applyProtection="1">
      <alignment vertical="center"/>
    </xf>
    <xf numFmtId="4" fontId="11" fillId="8" borderId="2" xfId="0" applyNumberFormat="1" applyFont="1" applyFill="1" applyBorder="1" applyAlignment="1" applyProtection="1">
      <alignment vertical="center"/>
    </xf>
    <xf numFmtId="0" fontId="3" fillId="8" borderId="0" xfId="0" applyFont="1" applyFill="1" applyBorder="1" applyAlignment="1" applyProtection="1">
      <alignment vertical="center"/>
    </xf>
    <xf numFmtId="0" fontId="2" fillId="8" borderId="0" xfId="0" applyFont="1" applyFill="1" applyBorder="1" applyAlignment="1" applyProtection="1">
      <alignment vertical="center"/>
    </xf>
    <xf numFmtId="0" fontId="2" fillId="8" borderId="8" xfId="0" quotePrefix="1" applyFont="1" applyFill="1" applyBorder="1" applyAlignment="1" applyProtection="1">
      <alignment vertical="center"/>
    </xf>
    <xf numFmtId="0" fontId="3" fillId="8" borderId="9" xfId="0" applyFont="1" applyFill="1" applyBorder="1" applyAlignment="1" applyProtection="1">
      <alignment vertical="center"/>
    </xf>
    <xf numFmtId="4" fontId="2" fillId="8" borderId="9" xfId="0" applyNumberFormat="1" applyFont="1" applyFill="1" applyBorder="1" applyAlignment="1" applyProtection="1">
      <alignment vertical="center"/>
    </xf>
    <xf numFmtId="0" fontId="2" fillId="8" borderId="9" xfId="0" applyFont="1" applyFill="1" applyBorder="1" applyAlignment="1" applyProtection="1">
      <alignment vertical="center"/>
    </xf>
    <xf numFmtId="0" fontId="0" fillId="7" borderId="7" xfId="0" applyFill="1" applyBorder="1" applyProtection="1">
      <protection hidden="1"/>
    </xf>
    <xf numFmtId="0" fontId="13" fillId="9" borderId="3" xfId="0" applyFont="1" applyFill="1" applyBorder="1" applyProtection="1"/>
    <xf numFmtId="0" fontId="14" fillId="9" borderId="4" xfId="0" applyFont="1" applyFill="1" applyBorder="1" applyProtection="1"/>
    <xf numFmtId="0" fontId="14" fillId="9" borderId="5" xfId="0" applyFont="1" applyFill="1" applyBorder="1" applyProtection="1">
      <protection hidden="1"/>
    </xf>
    <xf numFmtId="0" fontId="14" fillId="9" borderId="6" xfId="0" applyFont="1" applyFill="1" applyBorder="1" applyProtection="1"/>
    <xf numFmtId="0" fontId="14" fillId="9" borderId="0" xfId="0" applyFont="1" applyFill="1" applyBorder="1" applyProtection="1"/>
    <xf numFmtId="4" fontId="14" fillId="9" borderId="0" xfId="0" applyNumberFormat="1" applyFont="1" applyFill="1" applyBorder="1" applyProtection="1"/>
    <xf numFmtId="2" fontId="14" fillId="9" borderId="0" xfId="0" applyNumberFormat="1" applyFont="1" applyFill="1" applyBorder="1" applyProtection="1"/>
    <xf numFmtId="0" fontId="14" fillId="9" borderId="7" xfId="0" applyFont="1" applyFill="1" applyBorder="1" applyProtection="1">
      <protection hidden="1"/>
    </xf>
    <xf numFmtId="0" fontId="14" fillId="9" borderId="6" xfId="0" applyFont="1" applyFill="1" applyBorder="1" applyAlignment="1" applyProtection="1">
      <alignment wrapText="1"/>
    </xf>
    <xf numFmtId="4" fontId="14" fillId="9" borderId="9" xfId="0" applyNumberFormat="1" applyFont="1" applyFill="1" applyBorder="1" applyProtection="1"/>
    <xf numFmtId="0" fontId="15" fillId="9" borderId="11" xfId="0" applyFont="1" applyFill="1" applyBorder="1" applyAlignment="1" applyProtection="1">
      <alignment vertical="center"/>
    </xf>
    <xf numFmtId="0" fontId="15" fillId="9" borderId="2" xfId="0" applyFont="1" applyFill="1" applyBorder="1" applyAlignment="1" applyProtection="1">
      <alignment vertical="center"/>
    </xf>
    <xf numFmtId="4" fontId="16" fillId="9" borderId="2" xfId="0" applyNumberFormat="1" applyFont="1" applyFill="1" applyBorder="1" applyAlignment="1" applyProtection="1">
      <alignment vertical="center"/>
    </xf>
    <xf numFmtId="0" fontId="14" fillId="9" borderId="2" xfId="0" applyFont="1" applyFill="1" applyBorder="1" applyAlignment="1" applyProtection="1">
      <alignment vertical="center"/>
    </xf>
    <xf numFmtId="0" fontId="14" fillId="9" borderId="7" xfId="0" applyFont="1" applyFill="1" applyBorder="1" applyAlignment="1" applyProtection="1">
      <alignment vertical="center"/>
      <protection hidden="1"/>
    </xf>
    <xf numFmtId="0" fontId="14" fillId="9" borderId="8" xfId="0" quotePrefix="1" applyFont="1" applyFill="1" applyBorder="1" applyAlignment="1" applyProtection="1">
      <alignment vertical="center"/>
    </xf>
    <xf numFmtId="0" fontId="15" fillId="9" borderId="9" xfId="0" applyFont="1" applyFill="1" applyBorder="1" applyAlignment="1" applyProtection="1">
      <alignment vertical="center"/>
    </xf>
    <xf numFmtId="4" fontId="14" fillId="9" borderId="9" xfId="0" applyNumberFormat="1" applyFont="1" applyFill="1" applyBorder="1" applyAlignment="1" applyProtection="1">
      <alignment vertical="center"/>
    </xf>
    <xf numFmtId="0" fontId="14" fillId="9" borderId="9" xfId="0" applyFont="1" applyFill="1" applyBorder="1" applyAlignment="1" applyProtection="1">
      <alignment vertical="center"/>
    </xf>
    <xf numFmtId="0" fontId="14" fillId="9" borderId="10" xfId="0" applyFont="1" applyFill="1" applyBorder="1" applyAlignment="1" applyProtection="1">
      <alignment vertical="center"/>
      <protection hidden="1"/>
    </xf>
    <xf numFmtId="164" fontId="0" fillId="0" borderId="0" xfId="0" applyNumberFormat="1" applyFill="1" applyProtection="1"/>
    <xf numFmtId="0" fontId="0" fillId="10" borderId="6" xfId="0" applyFill="1" applyBorder="1" applyProtection="1"/>
    <xf numFmtId="0" fontId="0" fillId="10" borderId="0" xfId="0" applyFill="1" applyBorder="1" applyProtection="1"/>
    <xf numFmtId="4" fontId="0" fillId="10" borderId="0" xfId="0" applyNumberFormat="1" applyFill="1" applyBorder="1" applyProtection="1"/>
    <xf numFmtId="2" fontId="0" fillId="10" borderId="0" xfId="0" applyNumberFormat="1" applyFill="1" applyBorder="1" applyProtection="1"/>
    <xf numFmtId="0" fontId="0" fillId="10" borderId="7" xfId="0" applyFill="1" applyBorder="1" applyAlignment="1" applyProtection="1">
      <alignment horizontal="right"/>
      <protection hidden="1"/>
    </xf>
    <xf numFmtId="0" fontId="0" fillId="10" borderId="9" xfId="0" applyFill="1" applyBorder="1" applyProtection="1"/>
    <xf numFmtId="0" fontId="3" fillId="10" borderId="11" xfId="0" applyFont="1" applyFill="1" applyBorder="1" applyAlignment="1" applyProtection="1">
      <alignment vertical="center"/>
    </xf>
    <xf numFmtId="0" fontId="0" fillId="10" borderId="2" xfId="0" applyFill="1" applyBorder="1" applyAlignment="1" applyProtection="1">
      <alignment vertical="center"/>
    </xf>
    <xf numFmtId="4" fontId="11" fillId="10" borderId="2" xfId="0" applyNumberFormat="1" applyFont="1" applyFill="1" applyBorder="1" applyAlignment="1" applyProtection="1">
      <alignment vertical="center"/>
    </xf>
    <xf numFmtId="0" fontId="0" fillId="10" borderId="7" xfId="0" applyFill="1" applyBorder="1" applyAlignment="1" applyProtection="1">
      <alignment horizontal="right" vertical="center"/>
      <protection hidden="1"/>
    </xf>
    <xf numFmtId="0" fontId="3" fillId="10" borderId="0" xfId="0" applyFont="1" applyFill="1" applyBorder="1" applyAlignment="1" applyProtection="1">
      <alignment vertical="center"/>
    </xf>
    <xf numFmtId="0" fontId="2" fillId="10" borderId="0" xfId="0" applyFont="1" applyFill="1" applyBorder="1" applyAlignment="1" applyProtection="1">
      <alignment vertical="center"/>
    </xf>
    <xf numFmtId="0" fontId="2" fillId="10" borderId="8" xfId="0" quotePrefix="1" applyFont="1" applyFill="1" applyBorder="1" applyAlignment="1" applyProtection="1">
      <alignment vertical="center"/>
    </xf>
    <xf numFmtId="0" fontId="3" fillId="10" borderId="9" xfId="0" applyFont="1" applyFill="1" applyBorder="1" applyAlignment="1" applyProtection="1">
      <alignment vertical="center"/>
    </xf>
    <xf numFmtId="4" fontId="2" fillId="10" borderId="9" xfId="0" applyNumberFormat="1" applyFont="1" applyFill="1" applyBorder="1" applyAlignment="1" applyProtection="1">
      <alignment vertical="center"/>
    </xf>
    <xf numFmtId="0" fontId="2" fillId="10" borderId="9" xfId="0" applyFont="1" applyFill="1" applyBorder="1" applyAlignment="1" applyProtection="1">
      <alignment vertical="center"/>
    </xf>
    <xf numFmtId="0" fontId="19" fillId="10" borderId="8" xfId="0" applyFont="1" applyFill="1" applyBorder="1" applyAlignment="1" applyProtection="1">
      <alignment wrapText="1"/>
    </xf>
    <xf numFmtId="0" fontId="19" fillId="10" borderId="9" xfId="0" applyFont="1" applyFill="1" applyBorder="1" applyProtection="1"/>
    <xf numFmtId="4" fontId="19" fillId="10" borderId="9" xfId="0" applyNumberFormat="1" applyFont="1" applyFill="1" applyBorder="1" applyProtection="1"/>
    <xf numFmtId="0" fontId="19" fillId="10" borderId="0" xfId="0" applyFont="1" applyFill="1" applyBorder="1" applyProtection="1"/>
    <xf numFmtId="0" fontId="0" fillId="7" borderId="0" xfId="0" applyFill="1" applyBorder="1" applyAlignment="1" applyProtection="1">
      <alignment vertical="center"/>
    </xf>
    <xf numFmtId="166" fontId="0" fillId="7" borderId="7" xfId="0" applyNumberFormat="1" applyFill="1" applyBorder="1" applyAlignment="1" applyProtection="1">
      <alignment vertical="center"/>
      <protection hidden="1"/>
    </xf>
    <xf numFmtId="0" fontId="4" fillId="0" borderId="0" xfId="0" applyFont="1" applyProtection="1">
      <protection hidden="1"/>
    </xf>
    <xf numFmtId="0" fontId="4" fillId="7" borderId="6" xfId="0" applyFont="1" applyFill="1" applyBorder="1" applyAlignment="1" applyProtection="1">
      <alignment vertical="center"/>
    </xf>
    <xf numFmtId="0" fontId="0" fillId="8" borderId="0" xfId="0" applyFill="1" applyBorder="1" applyAlignment="1" applyProtection="1">
      <alignment vertical="center"/>
    </xf>
    <xf numFmtId="166" fontId="0" fillId="8" borderId="7" xfId="0" applyNumberFormat="1" applyFill="1" applyBorder="1" applyAlignment="1" applyProtection="1">
      <alignment horizontal="right" vertical="center"/>
      <protection hidden="1"/>
    </xf>
    <xf numFmtId="0" fontId="4" fillId="11" borderId="6" xfId="0" applyFont="1" applyFill="1" applyBorder="1" applyAlignment="1" applyProtection="1">
      <alignment vertical="center"/>
    </xf>
    <xf numFmtId="0" fontId="4" fillId="8" borderId="6" xfId="0" applyFont="1" applyFill="1" applyBorder="1" applyAlignment="1" applyProtection="1">
      <alignment vertical="center"/>
    </xf>
    <xf numFmtId="166" fontId="0" fillId="8" borderId="7" xfId="0" applyNumberFormat="1" applyFill="1" applyBorder="1" applyAlignment="1" applyProtection="1">
      <alignment vertical="center"/>
      <protection hidden="1"/>
    </xf>
    <xf numFmtId="0" fontId="0" fillId="10" borderId="0" xfId="0" applyFill="1" applyBorder="1" applyAlignment="1" applyProtection="1">
      <alignment vertical="center"/>
    </xf>
    <xf numFmtId="166" fontId="0" fillId="10" borderId="7" xfId="0" applyNumberFormat="1" applyFill="1" applyBorder="1" applyAlignment="1" applyProtection="1">
      <alignment horizontal="right" vertical="center"/>
      <protection hidden="1"/>
    </xf>
    <xf numFmtId="0" fontId="4" fillId="10" borderId="6" xfId="0" applyFont="1" applyFill="1" applyBorder="1" applyAlignment="1" applyProtection="1">
      <alignment vertical="center"/>
    </xf>
    <xf numFmtId="166" fontId="0" fillId="10" borderId="7" xfId="0" applyNumberFormat="1" applyFill="1" applyBorder="1" applyAlignment="1" applyProtection="1">
      <alignment vertical="center"/>
      <protection hidden="1"/>
    </xf>
    <xf numFmtId="0" fontId="4" fillId="0" borderId="0" xfId="0" applyFont="1" applyAlignment="1" applyProtection="1">
      <alignment vertical="center"/>
    </xf>
    <xf numFmtId="0" fontId="0" fillId="11" borderId="0" xfId="0" applyFill="1" applyBorder="1" applyAlignment="1" applyProtection="1">
      <alignment vertical="center"/>
    </xf>
    <xf numFmtId="166" fontId="0" fillId="11" borderId="7" xfId="0" applyNumberFormat="1" applyFill="1" applyBorder="1" applyAlignment="1" applyProtection="1">
      <alignment vertical="center"/>
      <protection hidden="1"/>
    </xf>
    <xf numFmtId="0" fontId="0" fillId="11" borderId="6" xfId="0" applyFill="1" applyBorder="1" applyProtection="1"/>
    <xf numFmtId="0" fontId="0" fillId="11" borderId="0" xfId="0" applyFill="1" applyBorder="1" applyProtection="1"/>
    <xf numFmtId="4" fontId="0" fillId="11" borderId="0" xfId="0" applyNumberFormat="1" applyFill="1" applyBorder="1" applyProtection="1"/>
    <xf numFmtId="2" fontId="0" fillId="11" borderId="0" xfId="0" applyNumberFormat="1" applyFill="1" applyBorder="1" applyProtection="1"/>
    <xf numFmtId="0" fontId="0" fillId="11" borderId="7" xfId="0" applyFill="1" applyBorder="1" applyAlignment="1" applyProtection="1">
      <alignment horizontal="right"/>
      <protection hidden="1"/>
    </xf>
    <xf numFmtId="0" fontId="2" fillId="11" borderId="8" xfId="0" applyFont="1" applyFill="1" applyBorder="1" applyAlignment="1" applyProtection="1">
      <alignment wrapText="1"/>
    </xf>
    <xf numFmtId="0" fontId="2" fillId="11" borderId="9" xfId="0" applyFont="1" applyFill="1" applyBorder="1" applyProtection="1"/>
    <xf numFmtId="4" fontId="0" fillId="11" borderId="9" xfId="0" applyNumberFormat="1" applyFill="1" applyBorder="1" applyProtection="1"/>
    <xf numFmtId="0" fontId="2" fillId="11" borderId="0" xfId="0" applyFont="1" applyFill="1" applyBorder="1" applyProtection="1"/>
    <xf numFmtId="0" fontId="3" fillId="11" borderId="11" xfId="0" applyFont="1" applyFill="1" applyBorder="1" applyAlignment="1" applyProtection="1">
      <alignment vertical="center"/>
    </xf>
    <xf numFmtId="0" fontId="0" fillId="11" borderId="2" xfId="0" applyFill="1" applyBorder="1" applyAlignment="1" applyProtection="1">
      <alignment vertical="center"/>
    </xf>
    <xf numFmtId="4" fontId="11" fillId="11" borderId="2" xfId="0" applyNumberFormat="1" applyFont="1" applyFill="1" applyBorder="1" applyAlignment="1" applyProtection="1">
      <alignment vertical="center"/>
    </xf>
    <xf numFmtId="0" fontId="0" fillId="11" borderId="7" xfId="0" applyFill="1" applyBorder="1" applyAlignment="1" applyProtection="1">
      <alignment horizontal="right" vertical="center"/>
      <protection hidden="1"/>
    </xf>
    <xf numFmtId="0" fontId="3" fillId="11" borderId="0" xfId="0" applyFont="1" applyFill="1" applyBorder="1" applyAlignment="1" applyProtection="1">
      <alignment vertical="center"/>
    </xf>
    <xf numFmtId="0" fontId="2" fillId="11" borderId="0" xfId="0" applyFont="1" applyFill="1" applyBorder="1" applyAlignment="1" applyProtection="1">
      <alignment vertical="center"/>
    </xf>
    <xf numFmtId="0" fontId="2" fillId="11" borderId="8" xfId="0" quotePrefix="1" applyFont="1" applyFill="1" applyBorder="1" applyAlignment="1" applyProtection="1">
      <alignment vertical="center"/>
    </xf>
    <xf numFmtId="0" fontId="3" fillId="11" borderId="9" xfId="0" applyFont="1" applyFill="1" applyBorder="1" applyAlignment="1" applyProtection="1">
      <alignment vertical="center"/>
    </xf>
    <xf numFmtId="4" fontId="2" fillId="11" borderId="9" xfId="0" applyNumberFormat="1" applyFont="1" applyFill="1" applyBorder="1" applyAlignment="1" applyProtection="1">
      <alignment vertical="center"/>
    </xf>
    <xf numFmtId="0" fontId="2" fillId="11" borderId="9" xfId="0" applyFont="1" applyFill="1" applyBorder="1" applyAlignment="1" applyProtection="1">
      <alignment vertical="center"/>
    </xf>
    <xf numFmtId="0" fontId="11" fillId="10" borderId="3" xfId="0" applyFont="1" applyFill="1" applyBorder="1" applyProtection="1"/>
    <xf numFmtId="0" fontId="0" fillId="10" borderId="4" xfId="0" applyFill="1" applyBorder="1" applyProtection="1"/>
    <xf numFmtId="0" fontId="0" fillId="10" borderId="5" xfId="0" applyFill="1" applyBorder="1" applyProtection="1">
      <protection hidden="1"/>
    </xf>
    <xf numFmtId="0" fontId="0" fillId="10" borderId="7" xfId="0" applyFill="1" applyBorder="1" applyProtection="1">
      <protection hidden="1"/>
    </xf>
    <xf numFmtId="0" fontId="11" fillId="8" borderId="3" xfId="0" applyFont="1" applyFill="1" applyBorder="1" applyProtection="1"/>
    <xf numFmtId="0" fontId="0" fillId="8" borderId="4" xfId="0" applyFill="1" applyBorder="1" applyProtection="1"/>
    <xf numFmtId="0" fontId="0" fillId="8" borderId="5" xfId="0" applyFill="1" applyBorder="1" applyProtection="1">
      <protection hidden="1"/>
    </xf>
    <xf numFmtId="0" fontId="0" fillId="8" borderId="7" xfId="0" applyFill="1" applyBorder="1" applyProtection="1">
      <protection hidden="1"/>
    </xf>
    <xf numFmtId="0" fontId="2" fillId="10" borderId="6" xfId="0" quotePrefix="1" applyFont="1" applyFill="1" applyBorder="1" applyAlignment="1" applyProtection="1">
      <alignment vertical="center"/>
    </xf>
    <xf numFmtId="4" fontId="2" fillId="10" borderId="0" xfId="0" applyNumberFormat="1" applyFont="1" applyFill="1" applyBorder="1" applyAlignment="1" applyProtection="1">
      <alignment vertical="center"/>
    </xf>
    <xf numFmtId="0" fontId="2" fillId="8" borderId="6" xfId="0" quotePrefix="1" applyFont="1" applyFill="1" applyBorder="1" applyAlignment="1" applyProtection="1">
      <alignment vertical="center"/>
    </xf>
    <xf numFmtId="4" fontId="2" fillId="8" borderId="0" xfId="0" applyNumberFormat="1" applyFont="1" applyFill="1" applyBorder="1" applyAlignment="1" applyProtection="1">
      <alignment vertical="center"/>
    </xf>
    <xf numFmtId="0" fontId="11" fillId="7" borderId="3" xfId="0" applyFont="1" applyFill="1" applyBorder="1" applyProtection="1"/>
    <xf numFmtId="0" fontId="0" fillId="7" borderId="4" xfId="0" applyFill="1" applyBorder="1" applyProtection="1"/>
    <xf numFmtId="0" fontId="0" fillId="7" borderId="5" xfId="0" applyFill="1" applyBorder="1" applyProtection="1">
      <protection hidden="1"/>
    </xf>
    <xf numFmtId="0" fontId="2" fillId="7" borderId="6" xfId="0" quotePrefix="1" applyFont="1" applyFill="1" applyBorder="1" applyAlignment="1" applyProtection="1">
      <alignment vertical="center"/>
    </xf>
    <xf numFmtId="4" fontId="2" fillId="7" borderId="0" xfId="0" applyNumberFormat="1" applyFont="1" applyFill="1" applyBorder="1" applyAlignment="1" applyProtection="1">
      <alignment vertical="center"/>
    </xf>
    <xf numFmtId="0" fontId="2" fillId="11" borderId="6" xfId="0" quotePrefix="1" applyFont="1" applyFill="1" applyBorder="1" applyAlignment="1" applyProtection="1">
      <alignment vertical="center"/>
    </xf>
    <xf numFmtId="4" fontId="2" fillId="11" borderId="0" xfId="0" applyNumberFormat="1" applyFont="1" applyFill="1" applyBorder="1" applyAlignment="1" applyProtection="1">
      <alignment vertical="center"/>
    </xf>
    <xf numFmtId="166" fontId="0" fillId="11" borderId="7" xfId="0" applyNumberFormat="1" applyFill="1" applyBorder="1" applyAlignment="1" applyProtection="1">
      <alignment horizontal="right" vertical="center"/>
      <protection hidden="1"/>
    </xf>
    <xf numFmtId="0" fontId="0" fillId="11" borderId="7" xfId="0" applyFill="1" applyBorder="1" applyProtection="1">
      <protection hidden="1"/>
    </xf>
    <xf numFmtId="0" fontId="11" fillId="11" borderId="3" xfId="0" applyFont="1" applyFill="1" applyBorder="1" applyProtection="1"/>
    <xf numFmtId="0" fontId="0" fillId="11" borderId="4" xfId="0" applyFill="1" applyBorder="1" applyProtection="1"/>
    <xf numFmtId="0" fontId="0" fillId="11" borderId="5" xfId="0" applyFill="1" applyBorder="1" applyProtection="1">
      <protection hidden="1"/>
    </xf>
    <xf numFmtId="0" fontId="9" fillId="7" borderId="6" xfId="0" applyFont="1" applyFill="1" applyBorder="1" applyProtection="1"/>
    <xf numFmtId="0" fontId="9" fillId="10" borderId="6" xfId="0" applyFont="1" applyFill="1" applyBorder="1" applyProtection="1"/>
    <xf numFmtId="0" fontId="9" fillId="11" borderId="6" xfId="0" applyFont="1" applyFill="1" applyBorder="1" applyProtection="1"/>
    <xf numFmtId="0" fontId="9" fillId="8" borderId="6" xfId="0" applyFont="1" applyFill="1" applyBorder="1" applyProtection="1"/>
    <xf numFmtId="0" fontId="2" fillId="0" borderId="0" xfId="0" applyFont="1" applyAlignment="1" applyProtection="1">
      <alignment vertical="center"/>
    </xf>
    <xf numFmtId="0" fontId="11" fillId="12" borderId="3" xfId="0" applyFont="1" applyFill="1" applyBorder="1" applyProtection="1"/>
    <xf numFmtId="0" fontId="0" fillId="12" borderId="4" xfId="0" applyFill="1" applyBorder="1" applyProtection="1"/>
    <xf numFmtId="0" fontId="0" fillId="12" borderId="5" xfId="0" applyFill="1" applyBorder="1" applyProtection="1">
      <protection hidden="1"/>
    </xf>
    <xf numFmtId="0" fontId="0" fillId="12" borderId="6" xfId="0" applyFill="1" applyBorder="1" applyProtection="1"/>
    <xf numFmtId="0" fontId="0" fillId="12" borderId="0" xfId="0" applyFill="1" applyBorder="1" applyProtection="1"/>
    <xf numFmtId="0" fontId="0" fillId="12" borderId="7" xfId="0" applyFill="1" applyBorder="1" applyProtection="1">
      <protection hidden="1"/>
    </xf>
    <xf numFmtId="4" fontId="0" fillId="12" borderId="0" xfId="0" applyNumberFormat="1" applyFill="1" applyBorder="1" applyProtection="1"/>
    <xf numFmtId="2" fontId="0" fillId="12" borderId="0" xfId="0" applyNumberFormat="1" applyFill="1" applyBorder="1" applyProtection="1"/>
    <xf numFmtId="0" fontId="0" fillId="12" borderId="8" xfId="0" applyFill="1" applyBorder="1" applyAlignment="1" applyProtection="1">
      <alignment wrapText="1"/>
    </xf>
    <xf numFmtId="0" fontId="0" fillId="12" borderId="9" xfId="0" applyFill="1" applyBorder="1" applyProtection="1"/>
    <xf numFmtId="4" fontId="0" fillId="12" borderId="9" xfId="0" applyNumberFormat="1" applyFill="1" applyBorder="1" applyProtection="1"/>
    <xf numFmtId="0" fontId="3" fillId="12" borderId="11" xfId="0" applyFont="1" applyFill="1" applyBorder="1" applyAlignment="1" applyProtection="1">
      <alignment vertical="center"/>
    </xf>
    <xf numFmtId="0" fontId="0" fillId="12" borderId="2" xfId="0" applyFill="1" applyBorder="1" applyAlignment="1" applyProtection="1">
      <alignment vertical="center"/>
    </xf>
    <xf numFmtId="4" fontId="11" fillId="12" borderId="2" xfId="0" applyNumberFormat="1" applyFont="1" applyFill="1" applyBorder="1" applyAlignment="1" applyProtection="1">
      <alignment vertical="center"/>
    </xf>
    <xf numFmtId="0" fontId="0" fillId="12" borderId="7" xfId="0" applyFill="1" applyBorder="1" applyAlignment="1" applyProtection="1">
      <alignment vertical="center"/>
      <protection hidden="1"/>
    </xf>
    <xf numFmtId="0" fontId="2" fillId="12" borderId="6" xfId="0" quotePrefix="1" applyFont="1" applyFill="1" applyBorder="1" applyAlignment="1" applyProtection="1">
      <alignment vertical="center"/>
    </xf>
    <xf numFmtId="0" fontId="3" fillId="12" borderId="0" xfId="0" applyFont="1" applyFill="1" applyBorder="1" applyAlignment="1" applyProtection="1">
      <alignment vertical="center"/>
    </xf>
    <xf numFmtId="4" fontId="2" fillId="12" borderId="0" xfId="0" applyNumberFormat="1" applyFont="1" applyFill="1" applyBorder="1" applyAlignment="1" applyProtection="1">
      <alignment vertical="center"/>
    </xf>
    <xf numFmtId="0" fontId="2" fillId="12" borderId="0" xfId="0" applyFont="1" applyFill="1" applyBorder="1" applyAlignment="1" applyProtection="1">
      <alignment vertical="center"/>
    </xf>
    <xf numFmtId="0" fontId="3" fillId="12" borderId="6" xfId="0" applyFont="1" applyFill="1" applyBorder="1" applyProtection="1"/>
    <xf numFmtId="0" fontId="0" fillId="12" borderId="8" xfId="0" applyFill="1" applyBorder="1" applyProtection="1"/>
    <xf numFmtId="0" fontId="0" fillId="12" borderId="10" xfId="0" applyFill="1" applyBorder="1" applyProtection="1">
      <protection hidden="1"/>
    </xf>
    <xf numFmtId="167" fontId="0" fillId="8" borderId="7" xfId="0" applyNumberFormat="1" applyFill="1" applyBorder="1" applyAlignment="1" applyProtection="1">
      <alignment horizontal="right" vertical="center"/>
      <protection hidden="1"/>
    </xf>
    <xf numFmtId="167" fontId="0" fillId="7" borderId="7" xfId="0" applyNumberFormat="1" applyFill="1" applyBorder="1" applyAlignment="1" applyProtection="1">
      <alignment vertical="center"/>
      <protection hidden="1"/>
    </xf>
    <xf numFmtId="167" fontId="0" fillId="10" borderId="7" xfId="0" applyNumberFormat="1" applyFill="1" applyBorder="1" applyAlignment="1" applyProtection="1">
      <alignment horizontal="right" vertical="center"/>
      <protection hidden="1"/>
    </xf>
    <xf numFmtId="167" fontId="0" fillId="7" borderId="10" xfId="0" applyNumberFormat="1" applyFill="1" applyBorder="1" applyAlignment="1" applyProtection="1">
      <alignment vertical="center"/>
      <protection hidden="1"/>
    </xf>
    <xf numFmtId="167" fontId="0" fillId="8" borderId="10" xfId="0" applyNumberFormat="1" applyFill="1" applyBorder="1" applyAlignment="1" applyProtection="1">
      <alignment horizontal="right" vertical="center"/>
      <protection hidden="1"/>
    </xf>
    <xf numFmtId="167" fontId="0" fillId="10" borderId="10" xfId="0" applyNumberFormat="1" applyFill="1" applyBorder="1" applyAlignment="1" applyProtection="1">
      <alignment horizontal="right" vertical="center"/>
      <protection hidden="1"/>
    </xf>
    <xf numFmtId="167" fontId="0" fillId="11" borderId="7" xfId="0" applyNumberFormat="1" applyFill="1" applyBorder="1" applyAlignment="1" applyProtection="1">
      <alignment horizontal="right" vertical="center"/>
      <protection hidden="1"/>
    </xf>
    <xf numFmtId="167" fontId="0" fillId="11" borderId="10" xfId="0" applyNumberFormat="1" applyFill="1" applyBorder="1" applyAlignment="1" applyProtection="1">
      <alignment horizontal="right" vertical="center"/>
      <protection hidden="1"/>
    </xf>
    <xf numFmtId="0" fontId="2" fillId="0" borderId="12" xfId="0" applyFont="1" applyBorder="1" applyAlignment="1" applyProtection="1">
      <alignment horizontal="right" vertical="center"/>
      <protection hidden="1"/>
    </xf>
    <xf numFmtId="0" fontId="0" fillId="0" borderId="12" xfId="0" applyBorder="1" applyAlignment="1">
      <alignment horizontal="right" vertical="center"/>
    </xf>
    <xf numFmtId="0" fontId="0" fillId="0" borderId="13" xfId="0" applyBorder="1" applyAlignment="1">
      <alignment horizontal="right" vertical="center"/>
    </xf>
    <xf numFmtId="3" fontId="11" fillId="2" borderId="0" xfId="0" applyNumberFormat="1" applyFont="1" applyFill="1" applyAlignment="1" applyProtection="1">
      <alignment horizontal="center" vertical="center"/>
      <protection locked="0"/>
    </xf>
    <xf numFmtId="0" fontId="11" fillId="0" borderId="0" xfId="0" applyFont="1" applyAlignment="1" applyProtection="1">
      <alignment horizontal="center" vertical="center"/>
      <protection locked="0"/>
    </xf>
    <xf numFmtId="0" fontId="7" fillId="0" borderId="0" xfId="0" applyFont="1" applyAlignment="1" applyProtection="1">
      <alignment horizontal="left" vertical="top" wrapText="1"/>
    </xf>
    <xf numFmtId="0" fontId="0" fillId="0" borderId="0" xfId="0" applyAlignment="1">
      <alignment horizontal="left" vertical="top"/>
    </xf>
    <xf numFmtId="0" fontId="9" fillId="0" borderId="0" xfId="0" applyFont="1" applyAlignment="1" applyProtection="1">
      <alignment wrapText="1"/>
    </xf>
    <xf numFmtId="0" fontId="0" fillId="0" borderId="0" xfId="0" applyAlignment="1"/>
    <xf numFmtId="0" fontId="1" fillId="0" borderId="0" xfId="0" applyFont="1" applyAlignment="1" applyProtection="1">
      <alignment wrapText="1"/>
    </xf>
    <xf numFmtId="0" fontId="0" fillId="0" borderId="0" xfId="0"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issmallhydro.ch/"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38099</xdr:colOff>
      <xdr:row>147</xdr:row>
      <xdr:rowOff>28575</xdr:rowOff>
    </xdr:from>
    <xdr:to>
      <xdr:col>3</xdr:col>
      <xdr:colOff>796833</xdr:colOff>
      <xdr:row>150</xdr:row>
      <xdr:rowOff>28575</xdr:rowOff>
    </xdr:to>
    <xdr:pic>
      <xdr:nvPicPr>
        <xdr:cNvPr id="6" name="Picture 5">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099" y="13849350"/>
          <a:ext cx="7454809" cy="1009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wissmallhydro.c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156"/>
  <sheetViews>
    <sheetView tabSelected="1" topLeftCell="A7" zoomScaleNormal="100" workbookViewId="0">
      <selection activeCell="C17" sqref="C17"/>
    </sheetView>
  </sheetViews>
  <sheetFormatPr defaultColWidth="11.5703125" defaultRowHeight="12.75" outlineLevelRow="1" outlineLevelCol="1" x14ac:dyDescent="0.2"/>
  <cols>
    <col min="1" max="1" width="79.5703125" style="5" customWidth="1"/>
    <col min="2" max="2" width="3.5703125" style="5" customWidth="1"/>
    <col min="3" max="3" width="17.28515625" style="5" bestFit="1" customWidth="1"/>
    <col min="4" max="4" width="16.7109375" style="5" customWidth="1"/>
    <col min="5" max="5" width="16.42578125" style="5" customWidth="1"/>
    <col min="6" max="6" width="23.140625" style="5" hidden="1" customWidth="1" outlineLevel="1"/>
    <col min="7" max="11" width="11.5703125" style="5" hidden="1" customWidth="1" outlineLevel="1"/>
    <col min="12" max="12" width="16.42578125" style="5" hidden="1" customWidth="1" outlineLevel="1" collapsed="1"/>
    <col min="13" max="13" width="22.42578125" style="5" hidden="1" customWidth="1" outlineLevel="1"/>
    <col min="14" max="53" width="11.5703125" style="5" hidden="1" customWidth="1" outlineLevel="1"/>
    <col min="54" max="54" width="11.5703125" style="5" collapsed="1"/>
    <col min="55" max="16384" width="11.5703125" style="5"/>
  </cols>
  <sheetData>
    <row r="1" spans="1:53" ht="24" customHeight="1" x14ac:dyDescent="0.25">
      <c r="A1" s="4" t="s">
        <v>90</v>
      </c>
    </row>
    <row r="2" spans="1:53" ht="24" customHeight="1" x14ac:dyDescent="0.25">
      <c r="A2" s="4" t="s">
        <v>61</v>
      </c>
    </row>
    <row r="3" spans="1:53" ht="41.25" customHeight="1" x14ac:dyDescent="0.25">
      <c r="A3" s="246" t="s">
        <v>91</v>
      </c>
      <c r="B3" s="247"/>
      <c r="C3" s="247"/>
      <c r="D3" s="247"/>
      <c r="E3" s="247"/>
    </row>
    <row r="4" spans="1:53" ht="4.5" customHeight="1" x14ac:dyDescent="0.2"/>
    <row r="5" spans="1:53" ht="18.75" customHeight="1" x14ac:dyDescent="0.2">
      <c r="A5" s="156" t="s">
        <v>89</v>
      </c>
    </row>
    <row r="7" spans="1:53" ht="15.75" x14ac:dyDescent="0.2">
      <c r="A7" s="240" t="s">
        <v>54</v>
      </c>
      <c r="B7" s="241"/>
      <c r="C7" s="241"/>
      <c r="D7" s="241"/>
      <c r="E7" s="241"/>
    </row>
    <row r="8" spans="1:53" ht="5.25" customHeight="1" x14ac:dyDescent="0.2">
      <c r="A8" s="60"/>
      <c r="B8" s="58"/>
      <c r="C8" s="58"/>
      <c r="D8" s="58"/>
      <c r="E8" s="58"/>
    </row>
    <row r="9" spans="1:53" s="17" customFormat="1" hidden="1" outlineLevel="1" x14ac:dyDescent="0.2">
      <c r="E9" s="16" t="s">
        <v>0</v>
      </c>
      <c r="G9" s="18" t="s">
        <v>1</v>
      </c>
      <c r="H9" s="18" t="s">
        <v>1</v>
      </c>
      <c r="I9" s="18" t="s">
        <v>1</v>
      </c>
      <c r="J9" s="18" t="s">
        <v>1</v>
      </c>
      <c r="K9" s="18" t="s">
        <v>1</v>
      </c>
      <c r="N9" s="52">
        <v>1</v>
      </c>
      <c r="O9" s="52">
        <v>2</v>
      </c>
      <c r="P9" s="52">
        <v>3</v>
      </c>
      <c r="Q9" s="52">
        <v>4</v>
      </c>
      <c r="R9" s="52">
        <v>5</v>
      </c>
      <c r="S9" s="52">
        <v>6</v>
      </c>
      <c r="T9" s="52">
        <v>7</v>
      </c>
      <c r="U9" s="52">
        <v>8</v>
      </c>
      <c r="V9" s="52">
        <v>9</v>
      </c>
      <c r="W9" s="52">
        <v>10</v>
      </c>
      <c r="X9" s="52">
        <v>11</v>
      </c>
      <c r="Y9" s="52">
        <v>12</v>
      </c>
      <c r="Z9" s="52">
        <v>13</v>
      </c>
      <c r="AA9" s="52">
        <v>14</v>
      </c>
      <c r="AB9" s="52">
        <v>15</v>
      </c>
      <c r="AC9" s="52">
        <v>16</v>
      </c>
      <c r="AD9" s="52">
        <v>17</v>
      </c>
      <c r="AE9" s="52">
        <v>18</v>
      </c>
      <c r="AF9" s="52">
        <v>19</v>
      </c>
      <c r="AG9" s="52">
        <v>20</v>
      </c>
      <c r="AH9" s="52">
        <v>21</v>
      </c>
      <c r="AI9" s="52">
        <v>22</v>
      </c>
      <c r="AJ9" s="52">
        <v>23</v>
      </c>
      <c r="AK9" s="52">
        <v>24</v>
      </c>
      <c r="AL9" s="52">
        <v>25</v>
      </c>
      <c r="AM9" s="52">
        <v>26</v>
      </c>
      <c r="AN9" s="52">
        <v>27</v>
      </c>
      <c r="AO9" s="52">
        <v>28</v>
      </c>
      <c r="AP9" s="52">
        <v>29</v>
      </c>
      <c r="AQ9" s="52">
        <v>30</v>
      </c>
      <c r="AR9" s="52">
        <v>31</v>
      </c>
      <c r="AS9" s="52">
        <v>32</v>
      </c>
      <c r="AT9" s="52">
        <v>33</v>
      </c>
      <c r="AU9" s="52">
        <v>34</v>
      </c>
      <c r="AV9" s="52">
        <v>35</v>
      </c>
      <c r="AW9" s="52">
        <v>36</v>
      </c>
      <c r="AX9" s="52">
        <v>37</v>
      </c>
      <c r="AY9" s="52">
        <v>38</v>
      </c>
      <c r="AZ9" s="52">
        <v>39</v>
      </c>
      <c r="BA9" s="52">
        <v>40</v>
      </c>
    </row>
    <row r="10" spans="1:53" s="17" customFormat="1" hidden="1" outlineLevel="1" x14ac:dyDescent="0.2">
      <c r="A10" s="34"/>
      <c r="G10" s="19">
        <v>10</v>
      </c>
      <c r="H10" s="19">
        <v>50</v>
      </c>
      <c r="I10" s="19">
        <v>300</v>
      </c>
      <c r="J10" s="19">
        <v>1000</v>
      </c>
      <c r="K10" s="19">
        <v>10000</v>
      </c>
      <c r="M10" s="237" t="s">
        <v>45</v>
      </c>
      <c r="N10" s="53">
        <f t="shared" ref="N10:AL10" si="0">$C140</f>
        <v>10.203111555555555</v>
      </c>
      <c r="O10" s="53">
        <f t="shared" si="0"/>
        <v>10.203111555555555</v>
      </c>
      <c r="P10" s="53">
        <f t="shared" si="0"/>
        <v>10.203111555555555</v>
      </c>
      <c r="Q10" s="53">
        <f t="shared" si="0"/>
        <v>10.203111555555555</v>
      </c>
      <c r="R10" s="53">
        <f t="shared" si="0"/>
        <v>10.203111555555555</v>
      </c>
      <c r="S10" s="53">
        <f t="shared" si="0"/>
        <v>10.203111555555555</v>
      </c>
      <c r="T10" s="53">
        <f t="shared" si="0"/>
        <v>10.203111555555555</v>
      </c>
      <c r="U10" s="53">
        <f t="shared" si="0"/>
        <v>10.203111555555555</v>
      </c>
      <c r="V10" s="53">
        <f t="shared" si="0"/>
        <v>10.203111555555555</v>
      </c>
      <c r="W10" s="53">
        <f t="shared" si="0"/>
        <v>10.203111555555555</v>
      </c>
      <c r="X10" s="53">
        <f t="shared" si="0"/>
        <v>10.203111555555555</v>
      </c>
      <c r="Y10" s="53">
        <f t="shared" si="0"/>
        <v>10.203111555555555</v>
      </c>
      <c r="Z10" s="53">
        <f t="shared" si="0"/>
        <v>10.203111555555555</v>
      </c>
      <c r="AA10" s="53">
        <f t="shared" si="0"/>
        <v>10.203111555555555</v>
      </c>
      <c r="AB10" s="53">
        <f t="shared" si="0"/>
        <v>10.203111555555555</v>
      </c>
      <c r="AC10" s="53">
        <f t="shared" si="0"/>
        <v>10.203111555555555</v>
      </c>
      <c r="AD10" s="53">
        <f t="shared" si="0"/>
        <v>10.203111555555555</v>
      </c>
      <c r="AE10" s="53">
        <f t="shared" si="0"/>
        <v>10.203111555555555</v>
      </c>
      <c r="AF10" s="53">
        <f t="shared" si="0"/>
        <v>10.203111555555555</v>
      </c>
      <c r="AG10" s="53">
        <f t="shared" si="0"/>
        <v>10.203111555555555</v>
      </c>
      <c r="AH10" s="53">
        <f t="shared" si="0"/>
        <v>10.203111555555555</v>
      </c>
      <c r="AI10" s="53">
        <f t="shared" si="0"/>
        <v>10.203111555555555</v>
      </c>
      <c r="AJ10" s="53">
        <f t="shared" si="0"/>
        <v>10.203111555555555</v>
      </c>
      <c r="AK10" s="53">
        <f t="shared" si="0"/>
        <v>10.203111555555555</v>
      </c>
      <c r="AL10" s="53">
        <f t="shared" si="0"/>
        <v>10.203111555555555</v>
      </c>
      <c r="AM10" s="54">
        <f t="shared" ref="AM10:BA10" si="1">$C20</f>
        <v>8</v>
      </c>
      <c r="AN10" s="54">
        <f t="shared" si="1"/>
        <v>8</v>
      </c>
      <c r="AO10" s="54">
        <f t="shared" si="1"/>
        <v>8</v>
      </c>
      <c r="AP10" s="54">
        <f t="shared" si="1"/>
        <v>8</v>
      </c>
      <c r="AQ10" s="54">
        <f t="shared" si="1"/>
        <v>8</v>
      </c>
      <c r="AR10" s="54">
        <f t="shared" si="1"/>
        <v>8</v>
      </c>
      <c r="AS10" s="54">
        <f t="shared" si="1"/>
        <v>8</v>
      </c>
      <c r="AT10" s="54">
        <f t="shared" si="1"/>
        <v>8</v>
      </c>
      <c r="AU10" s="54">
        <f t="shared" si="1"/>
        <v>8</v>
      </c>
      <c r="AV10" s="54">
        <f t="shared" si="1"/>
        <v>8</v>
      </c>
      <c r="AW10" s="54">
        <f t="shared" si="1"/>
        <v>8</v>
      </c>
      <c r="AX10" s="54">
        <f t="shared" si="1"/>
        <v>8</v>
      </c>
      <c r="AY10" s="54">
        <f t="shared" si="1"/>
        <v>8</v>
      </c>
      <c r="AZ10" s="54">
        <f t="shared" si="1"/>
        <v>8</v>
      </c>
      <c r="BA10" s="54">
        <f t="shared" si="1"/>
        <v>8</v>
      </c>
    </row>
    <row r="11" spans="1:53" s="17" customFormat="1" hidden="1" outlineLevel="1" x14ac:dyDescent="0.2">
      <c r="G11" s="20">
        <v>26</v>
      </c>
      <c r="H11" s="20">
        <v>20</v>
      </c>
      <c r="I11" s="20">
        <v>14.5</v>
      </c>
      <c r="J11" s="20">
        <v>11</v>
      </c>
      <c r="K11" s="20">
        <v>7.5</v>
      </c>
      <c r="M11" s="238"/>
      <c r="N11" s="55">
        <f t="shared" ref="N11:BA11" si="2">$C$15*N10/100</f>
        <v>5101555.7777777771</v>
      </c>
      <c r="O11" s="55">
        <f t="shared" si="2"/>
        <v>5101555.7777777771</v>
      </c>
      <c r="P11" s="55">
        <f t="shared" si="2"/>
        <v>5101555.7777777771</v>
      </c>
      <c r="Q11" s="55">
        <f t="shared" si="2"/>
        <v>5101555.7777777771</v>
      </c>
      <c r="R11" s="55">
        <f t="shared" si="2"/>
        <v>5101555.7777777771</v>
      </c>
      <c r="S11" s="55">
        <f t="shared" si="2"/>
        <v>5101555.7777777771</v>
      </c>
      <c r="T11" s="55">
        <f t="shared" si="2"/>
        <v>5101555.7777777771</v>
      </c>
      <c r="U11" s="55">
        <f t="shared" si="2"/>
        <v>5101555.7777777771</v>
      </c>
      <c r="V11" s="55">
        <f t="shared" si="2"/>
        <v>5101555.7777777771</v>
      </c>
      <c r="W11" s="55">
        <f t="shared" si="2"/>
        <v>5101555.7777777771</v>
      </c>
      <c r="X11" s="55">
        <f t="shared" si="2"/>
        <v>5101555.7777777771</v>
      </c>
      <c r="Y11" s="55">
        <f t="shared" si="2"/>
        <v>5101555.7777777771</v>
      </c>
      <c r="Z11" s="55">
        <f t="shared" si="2"/>
        <v>5101555.7777777771</v>
      </c>
      <c r="AA11" s="55">
        <f t="shared" si="2"/>
        <v>5101555.7777777771</v>
      </c>
      <c r="AB11" s="55">
        <f t="shared" si="2"/>
        <v>5101555.7777777771</v>
      </c>
      <c r="AC11" s="55">
        <f t="shared" si="2"/>
        <v>5101555.7777777771</v>
      </c>
      <c r="AD11" s="55">
        <f t="shared" si="2"/>
        <v>5101555.7777777771</v>
      </c>
      <c r="AE11" s="55">
        <f t="shared" si="2"/>
        <v>5101555.7777777771</v>
      </c>
      <c r="AF11" s="55">
        <f t="shared" si="2"/>
        <v>5101555.7777777771</v>
      </c>
      <c r="AG11" s="55">
        <f t="shared" si="2"/>
        <v>5101555.7777777771</v>
      </c>
      <c r="AH11" s="55">
        <f t="shared" si="2"/>
        <v>5101555.7777777771</v>
      </c>
      <c r="AI11" s="55">
        <f t="shared" si="2"/>
        <v>5101555.7777777771</v>
      </c>
      <c r="AJ11" s="55">
        <f t="shared" si="2"/>
        <v>5101555.7777777771</v>
      </c>
      <c r="AK11" s="55">
        <f t="shared" si="2"/>
        <v>5101555.7777777771</v>
      </c>
      <c r="AL11" s="55">
        <f t="shared" si="2"/>
        <v>5101555.7777777771</v>
      </c>
      <c r="AM11" s="55">
        <f t="shared" si="2"/>
        <v>4000000</v>
      </c>
      <c r="AN11" s="55">
        <f t="shared" si="2"/>
        <v>4000000</v>
      </c>
      <c r="AO11" s="55">
        <f t="shared" si="2"/>
        <v>4000000</v>
      </c>
      <c r="AP11" s="55">
        <f t="shared" si="2"/>
        <v>4000000</v>
      </c>
      <c r="AQ11" s="55">
        <f t="shared" si="2"/>
        <v>4000000</v>
      </c>
      <c r="AR11" s="55">
        <f t="shared" si="2"/>
        <v>4000000</v>
      </c>
      <c r="AS11" s="55">
        <f t="shared" si="2"/>
        <v>4000000</v>
      </c>
      <c r="AT11" s="55">
        <f t="shared" si="2"/>
        <v>4000000</v>
      </c>
      <c r="AU11" s="55">
        <f t="shared" si="2"/>
        <v>4000000</v>
      </c>
      <c r="AV11" s="55">
        <f t="shared" si="2"/>
        <v>4000000</v>
      </c>
      <c r="AW11" s="55">
        <f t="shared" si="2"/>
        <v>4000000</v>
      </c>
      <c r="AX11" s="55">
        <f t="shared" si="2"/>
        <v>4000000</v>
      </c>
      <c r="AY11" s="55">
        <f t="shared" si="2"/>
        <v>4000000</v>
      </c>
      <c r="AZ11" s="55">
        <f t="shared" si="2"/>
        <v>4000000</v>
      </c>
      <c r="BA11" s="55">
        <f t="shared" si="2"/>
        <v>4000000</v>
      </c>
    </row>
    <row r="12" spans="1:53" s="17" customFormat="1" hidden="1" outlineLevel="1" x14ac:dyDescent="0.2">
      <c r="M12" s="237" t="s">
        <v>46</v>
      </c>
      <c r="N12" s="56">
        <f t="shared" ref="N12:AG12" si="3">$C68</f>
        <v>9.9306782222222232</v>
      </c>
      <c r="O12" s="56">
        <f t="shared" si="3"/>
        <v>9.9306782222222232</v>
      </c>
      <c r="P12" s="56">
        <f t="shared" si="3"/>
        <v>9.9306782222222232</v>
      </c>
      <c r="Q12" s="56">
        <f t="shared" si="3"/>
        <v>9.9306782222222232</v>
      </c>
      <c r="R12" s="56">
        <f t="shared" si="3"/>
        <v>9.9306782222222232</v>
      </c>
      <c r="S12" s="56">
        <f t="shared" si="3"/>
        <v>9.9306782222222232</v>
      </c>
      <c r="T12" s="56">
        <f t="shared" si="3"/>
        <v>9.9306782222222232</v>
      </c>
      <c r="U12" s="56">
        <f t="shared" si="3"/>
        <v>9.9306782222222232</v>
      </c>
      <c r="V12" s="56">
        <f t="shared" si="3"/>
        <v>9.9306782222222232</v>
      </c>
      <c r="W12" s="56">
        <f t="shared" si="3"/>
        <v>9.9306782222222232</v>
      </c>
      <c r="X12" s="56">
        <f t="shared" si="3"/>
        <v>9.9306782222222232</v>
      </c>
      <c r="Y12" s="56">
        <f t="shared" si="3"/>
        <v>9.9306782222222232</v>
      </c>
      <c r="Z12" s="56">
        <f t="shared" si="3"/>
        <v>9.9306782222222232</v>
      </c>
      <c r="AA12" s="56">
        <f t="shared" si="3"/>
        <v>9.9306782222222232</v>
      </c>
      <c r="AB12" s="56">
        <f t="shared" si="3"/>
        <v>9.9306782222222232</v>
      </c>
      <c r="AC12" s="56">
        <f t="shared" si="3"/>
        <v>9.9306782222222232</v>
      </c>
      <c r="AD12" s="56">
        <f t="shared" si="3"/>
        <v>9.9306782222222232</v>
      </c>
      <c r="AE12" s="56">
        <f t="shared" si="3"/>
        <v>9.9306782222222232</v>
      </c>
      <c r="AF12" s="56">
        <f t="shared" si="3"/>
        <v>9.9306782222222232</v>
      </c>
      <c r="AG12" s="56">
        <f t="shared" si="3"/>
        <v>9.9306782222222232</v>
      </c>
      <c r="AH12" s="56">
        <f t="shared" ref="AH12:BA12" si="4">$C20</f>
        <v>8</v>
      </c>
      <c r="AI12" s="56">
        <f t="shared" si="4"/>
        <v>8</v>
      </c>
      <c r="AJ12" s="56">
        <f t="shared" si="4"/>
        <v>8</v>
      </c>
      <c r="AK12" s="56">
        <f t="shared" si="4"/>
        <v>8</v>
      </c>
      <c r="AL12" s="56">
        <f t="shared" si="4"/>
        <v>8</v>
      </c>
      <c r="AM12" s="56">
        <f t="shared" si="4"/>
        <v>8</v>
      </c>
      <c r="AN12" s="56">
        <f t="shared" si="4"/>
        <v>8</v>
      </c>
      <c r="AO12" s="56">
        <f t="shared" si="4"/>
        <v>8</v>
      </c>
      <c r="AP12" s="56">
        <f t="shared" si="4"/>
        <v>8</v>
      </c>
      <c r="AQ12" s="56">
        <f t="shared" si="4"/>
        <v>8</v>
      </c>
      <c r="AR12" s="56">
        <f t="shared" si="4"/>
        <v>8</v>
      </c>
      <c r="AS12" s="56">
        <f t="shared" si="4"/>
        <v>8</v>
      </c>
      <c r="AT12" s="56">
        <f t="shared" si="4"/>
        <v>8</v>
      </c>
      <c r="AU12" s="56">
        <f t="shared" si="4"/>
        <v>8</v>
      </c>
      <c r="AV12" s="56">
        <f t="shared" si="4"/>
        <v>8</v>
      </c>
      <c r="AW12" s="56">
        <f t="shared" si="4"/>
        <v>8</v>
      </c>
      <c r="AX12" s="56">
        <f t="shared" si="4"/>
        <v>8</v>
      </c>
      <c r="AY12" s="56">
        <f t="shared" si="4"/>
        <v>8</v>
      </c>
      <c r="AZ12" s="56">
        <f t="shared" si="4"/>
        <v>8</v>
      </c>
      <c r="BA12" s="56">
        <f t="shared" si="4"/>
        <v>8</v>
      </c>
    </row>
    <row r="13" spans="1:53" s="17" customFormat="1" hidden="1" outlineLevel="1" x14ac:dyDescent="0.2">
      <c r="M13" s="238"/>
      <c r="N13" s="55">
        <f t="shared" ref="N13:BA13" si="5">$C$15*N12/100</f>
        <v>4965339.1111111119</v>
      </c>
      <c r="O13" s="55">
        <f t="shared" si="5"/>
        <v>4965339.1111111119</v>
      </c>
      <c r="P13" s="55">
        <f t="shared" si="5"/>
        <v>4965339.1111111119</v>
      </c>
      <c r="Q13" s="55">
        <f t="shared" si="5"/>
        <v>4965339.1111111119</v>
      </c>
      <c r="R13" s="55">
        <f t="shared" si="5"/>
        <v>4965339.1111111119</v>
      </c>
      <c r="S13" s="55">
        <f t="shared" si="5"/>
        <v>4965339.1111111119</v>
      </c>
      <c r="T13" s="55">
        <f t="shared" si="5"/>
        <v>4965339.1111111119</v>
      </c>
      <c r="U13" s="55">
        <f t="shared" si="5"/>
        <v>4965339.1111111119</v>
      </c>
      <c r="V13" s="55">
        <f t="shared" si="5"/>
        <v>4965339.1111111119</v>
      </c>
      <c r="W13" s="55">
        <f t="shared" si="5"/>
        <v>4965339.1111111119</v>
      </c>
      <c r="X13" s="55">
        <f t="shared" si="5"/>
        <v>4965339.1111111119</v>
      </c>
      <c r="Y13" s="55">
        <f t="shared" si="5"/>
        <v>4965339.1111111119</v>
      </c>
      <c r="Z13" s="55">
        <f t="shared" si="5"/>
        <v>4965339.1111111119</v>
      </c>
      <c r="AA13" s="55">
        <f t="shared" si="5"/>
        <v>4965339.1111111119</v>
      </c>
      <c r="AB13" s="55">
        <f t="shared" si="5"/>
        <v>4965339.1111111119</v>
      </c>
      <c r="AC13" s="55">
        <f t="shared" si="5"/>
        <v>4965339.1111111119</v>
      </c>
      <c r="AD13" s="55">
        <f t="shared" si="5"/>
        <v>4965339.1111111119</v>
      </c>
      <c r="AE13" s="55">
        <f t="shared" si="5"/>
        <v>4965339.1111111119</v>
      </c>
      <c r="AF13" s="55">
        <f t="shared" si="5"/>
        <v>4965339.1111111119</v>
      </c>
      <c r="AG13" s="55">
        <f t="shared" si="5"/>
        <v>4965339.1111111119</v>
      </c>
      <c r="AH13" s="55">
        <f t="shared" si="5"/>
        <v>4000000</v>
      </c>
      <c r="AI13" s="55">
        <f t="shared" si="5"/>
        <v>4000000</v>
      </c>
      <c r="AJ13" s="55">
        <f t="shared" si="5"/>
        <v>4000000</v>
      </c>
      <c r="AK13" s="55">
        <f t="shared" si="5"/>
        <v>4000000</v>
      </c>
      <c r="AL13" s="55">
        <f t="shared" si="5"/>
        <v>4000000</v>
      </c>
      <c r="AM13" s="55">
        <f t="shared" si="5"/>
        <v>4000000</v>
      </c>
      <c r="AN13" s="55">
        <f t="shared" si="5"/>
        <v>4000000</v>
      </c>
      <c r="AO13" s="55">
        <f t="shared" si="5"/>
        <v>4000000</v>
      </c>
      <c r="AP13" s="55">
        <f t="shared" si="5"/>
        <v>4000000</v>
      </c>
      <c r="AQ13" s="55">
        <f t="shared" si="5"/>
        <v>4000000</v>
      </c>
      <c r="AR13" s="55">
        <f t="shared" si="5"/>
        <v>4000000</v>
      </c>
      <c r="AS13" s="55">
        <f t="shared" si="5"/>
        <v>4000000</v>
      </c>
      <c r="AT13" s="55">
        <f t="shared" si="5"/>
        <v>4000000</v>
      </c>
      <c r="AU13" s="55">
        <f t="shared" si="5"/>
        <v>4000000</v>
      </c>
      <c r="AV13" s="55">
        <f t="shared" si="5"/>
        <v>4000000</v>
      </c>
      <c r="AW13" s="55">
        <f t="shared" si="5"/>
        <v>4000000</v>
      </c>
      <c r="AX13" s="55">
        <f t="shared" si="5"/>
        <v>4000000</v>
      </c>
      <c r="AY13" s="55">
        <f t="shared" si="5"/>
        <v>4000000</v>
      </c>
      <c r="AZ13" s="55">
        <f t="shared" si="5"/>
        <v>4000000</v>
      </c>
      <c r="BA13" s="55">
        <f t="shared" si="5"/>
        <v>4000000</v>
      </c>
    </row>
    <row r="14" spans="1:53" collapsed="1" x14ac:dyDescent="0.2">
      <c r="A14" s="6" t="s">
        <v>56</v>
      </c>
      <c r="C14" s="122">
        <f>C15/C16</f>
        <v>5707.7625570776254</v>
      </c>
      <c r="D14" s="5" t="s">
        <v>17</v>
      </c>
      <c r="E14" s="17"/>
      <c r="F14" s="21"/>
      <c r="G14" s="22"/>
      <c r="H14" s="22"/>
      <c r="I14" s="17"/>
      <c r="J14" s="17"/>
      <c r="K14" s="17"/>
      <c r="M14" s="237" t="s">
        <v>49</v>
      </c>
      <c r="N14" s="56">
        <f t="shared" ref="N14:AG14" si="6">$C75</f>
        <v>9.0217271111111099</v>
      </c>
      <c r="O14" s="56">
        <f t="shared" si="6"/>
        <v>9.0217271111111099</v>
      </c>
      <c r="P14" s="56">
        <f t="shared" si="6"/>
        <v>9.0217271111111099</v>
      </c>
      <c r="Q14" s="56">
        <f t="shared" si="6"/>
        <v>9.0217271111111099</v>
      </c>
      <c r="R14" s="56">
        <f t="shared" si="6"/>
        <v>9.0217271111111099</v>
      </c>
      <c r="S14" s="56">
        <f t="shared" si="6"/>
        <v>9.0217271111111099</v>
      </c>
      <c r="T14" s="56">
        <f t="shared" si="6"/>
        <v>9.0217271111111099</v>
      </c>
      <c r="U14" s="56">
        <f t="shared" si="6"/>
        <v>9.0217271111111099</v>
      </c>
      <c r="V14" s="56">
        <f t="shared" si="6"/>
        <v>9.0217271111111099</v>
      </c>
      <c r="W14" s="56">
        <f t="shared" si="6"/>
        <v>9.0217271111111099</v>
      </c>
      <c r="X14" s="56">
        <f t="shared" si="6"/>
        <v>9.0217271111111099</v>
      </c>
      <c r="Y14" s="56">
        <f t="shared" si="6"/>
        <v>9.0217271111111099</v>
      </c>
      <c r="Z14" s="56">
        <f t="shared" si="6"/>
        <v>9.0217271111111099</v>
      </c>
      <c r="AA14" s="56">
        <f t="shared" si="6"/>
        <v>9.0217271111111099</v>
      </c>
      <c r="AB14" s="56">
        <f t="shared" si="6"/>
        <v>9.0217271111111099</v>
      </c>
      <c r="AC14" s="56">
        <f t="shared" si="6"/>
        <v>9.0217271111111099</v>
      </c>
      <c r="AD14" s="56">
        <f t="shared" si="6"/>
        <v>9.0217271111111099</v>
      </c>
      <c r="AE14" s="56">
        <f t="shared" si="6"/>
        <v>9.0217271111111099</v>
      </c>
      <c r="AF14" s="56">
        <f t="shared" si="6"/>
        <v>9.0217271111111099</v>
      </c>
      <c r="AG14" s="56">
        <f t="shared" si="6"/>
        <v>9.0217271111111099</v>
      </c>
      <c r="AH14" s="56">
        <f>$C$20</f>
        <v>8</v>
      </c>
      <c r="AI14" s="56">
        <f t="shared" ref="AI14:BA14" si="7">$C$20</f>
        <v>8</v>
      </c>
      <c r="AJ14" s="56">
        <f t="shared" si="7"/>
        <v>8</v>
      </c>
      <c r="AK14" s="56">
        <f t="shared" si="7"/>
        <v>8</v>
      </c>
      <c r="AL14" s="56">
        <f t="shared" si="7"/>
        <v>8</v>
      </c>
      <c r="AM14" s="56">
        <f t="shared" si="7"/>
        <v>8</v>
      </c>
      <c r="AN14" s="56">
        <f t="shared" si="7"/>
        <v>8</v>
      </c>
      <c r="AO14" s="56">
        <f t="shared" si="7"/>
        <v>8</v>
      </c>
      <c r="AP14" s="56">
        <f t="shared" si="7"/>
        <v>8</v>
      </c>
      <c r="AQ14" s="56">
        <f t="shared" si="7"/>
        <v>8</v>
      </c>
      <c r="AR14" s="56">
        <f t="shared" si="7"/>
        <v>8</v>
      </c>
      <c r="AS14" s="56">
        <f t="shared" si="7"/>
        <v>8</v>
      </c>
      <c r="AT14" s="56">
        <f t="shared" si="7"/>
        <v>8</v>
      </c>
      <c r="AU14" s="56">
        <f t="shared" si="7"/>
        <v>8</v>
      </c>
      <c r="AV14" s="56">
        <f t="shared" si="7"/>
        <v>8</v>
      </c>
      <c r="AW14" s="56">
        <f t="shared" si="7"/>
        <v>8</v>
      </c>
      <c r="AX14" s="56">
        <f t="shared" si="7"/>
        <v>8</v>
      </c>
      <c r="AY14" s="56">
        <f t="shared" si="7"/>
        <v>8</v>
      </c>
      <c r="AZ14" s="56">
        <f t="shared" si="7"/>
        <v>8</v>
      </c>
      <c r="BA14" s="56">
        <f t="shared" si="7"/>
        <v>8</v>
      </c>
    </row>
    <row r="15" spans="1:53" x14ac:dyDescent="0.2">
      <c r="A15" s="5" t="s">
        <v>55</v>
      </c>
      <c r="C15" s="1">
        <v>50000000</v>
      </c>
      <c r="D15" s="5" t="s">
        <v>16</v>
      </c>
      <c r="E15" s="17"/>
      <c r="F15" s="22"/>
      <c r="G15" s="23"/>
      <c r="H15" s="22"/>
      <c r="I15" s="17"/>
      <c r="J15" s="17"/>
      <c r="K15" s="17"/>
      <c r="M15" s="238"/>
      <c r="N15" s="55">
        <f t="shared" ref="N15:BA15" si="8">$C$15*N14/100</f>
        <v>4510863.555555555</v>
      </c>
      <c r="O15" s="55">
        <f t="shared" si="8"/>
        <v>4510863.555555555</v>
      </c>
      <c r="P15" s="55">
        <f t="shared" si="8"/>
        <v>4510863.555555555</v>
      </c>
      <c r="Q15" s="55">
        <f t="shared" si="8"/>
        <v>4510863.555555555</v>
      </c>
      <c r="R15" s="55">
        <f t="shared" si="8"/>
        <v>4510863.555555555</v>
      </c>
      <c r="S15" s="55">
        <f t="shared" si="8"/>
        <v>4510863.555555555</v>
      </c>
      <c r="T15" s="55">
        <f t="shared" si="8"/>
        <v>4510863.555555555</v>
      </c>
      <c r="U15" s="55">
        <f t="shared" si="8"/>
        <v>4510863.555555555</v>
      </c>
      <c r="V15" s="55">
        <f t="shared" si="8"/>
        <v>4510863.555555555</v>
      </c>
      <c r="W15" s="55">
        <f t="shared" si="8"/>
        <v>4510863.555555555</v>
      </c>
      <c r="X15" s="55">
        <f t="shared" si="8"/>
        <v>4510863.555555555</v>
      </c>
      <c r="Y15" s="55">
        <f t="shared" si="8"/>
        <v>4510863.555555555</v>
      </c>
      <c r="Z15" s="55">
        <f t="shared" si="8"/>
        <v>4510863.555555555</v>
      </c>
      <c r="AA15" s="55">
        <f t="shared" si="8"/>
        <v>4510863.555555555</v>
      </c>
      <c r="AB15" s="55">
        <f t="shared" si="8"/>
        <v>4510863.555555555</v>
      </c>
      <c r="AC15" s="55">
        <f t="shared" si="8"/>
        <v>4510863.555555555</v>
      </c>
      <c r="AD15" s="55">
        <f t="shared" si="8"/>
        <v>4510863.555555555</v>
      </c>
      <c r="AE15" s="55">
        <f t="shared" si="8"/>
        <v>4510863.555555555</v>
      </c>
      <c r="AF15" s="55">
        <f t="shared" si="8"/>
        <v>4510863.555555555</v>
      </c>
      <c r="AG15" s="55">
        <f t="shared" si="8"/>
        <v>4510863.555555555</v>
      </c>
      <c r="AH15" s="55">
        <f t="shared" si="8"/>
        <v>4000000</v>
      </c>
      <c r="AI15" s="55">
        <f t="shared" si="8"/>
        <v>4000000</v>
      </c>
      <c r="AJ15" s="55">
        <f t="shared" si="8"/>
        <v>4000000</v>
      </c>
      <c r="AK15" s="55">
        <f t="shared" si="8"/>
        <v>4000000</v>
      </c>
      <c r="AL15" s="55">
        <f t="shared" si="8"/>
        <v>4000000</v>
      </c>
      <c r="AM15" s="55">
        <f t="shared" si="8"/>
        <v>4000000</v>
      </c>
      <c r="AN15" s="55">
        <f t="shared" si="8"/>
        <v>4000000</v>
      </c>
      <c r="AO15" s="55">
        <f t="shared" si="8"/>
        <v>4000000</v>
      </c>
      <c r="AP15" s="55">
        <f t="shared" si="8"/>
        <v>4000000</v>
      </c>
      <c r="AQ15" s="55">
        <f t="shared" si="8"/>
        <v>4000000</v>
      </c>
      <c r="AR15" s="55">
        <f t="shared" si="8"/>
        <v>4000000</v>
      </c>
      <c r="AS15" s="55">
        <f t="shared" si="8"/>
        <v>4000000</v>
      </c>
      <c r="AT15" s="55">
        <f t="shared" si="8"/>
        <v>4000000</v>
      </c>
      <c r="AU15" s="55">
        <f t="shared" si="8"/>
        <v>4000000</v>
      </c>
      <c r="AV15" s="55">
        <f t="shared" si="8"/>
        <v>4000000</v>
      </c>
      <c r="AW15" s="55">
        <f t="shared" si="8"/>
        <v>4000000</v>
      </c>
      <c r="AX15" s="55">
        <f t="shared" si="8"/>
        <v>4000000</v>
      </c>
      <c r="AY15" s="55">
        <f t="shared" si="8"/>
        <v>4000000</v>
      </c>
      <c r="AZ15" s="55">
        <f t="shared" si="8"/>
        <v>4000000</v>
      </c>
      <c r="BA15" s="55">
        <f t="shared" si="8"/>
        <v>4000000</v>
      </c>
    </row>
    <row r="16" spans="1:53" x14ac:dyDescent="0.2">
      <c r="A16" s="5" t="s">
        <v>57</v>
      </c>
      <c r="C16" s="1">
        <v>8760</v>
      </c>
      <c r="D16" s="5" t="s">
        <v>18</v>
      </c>
      <c r="E16" s="17"/>
      <c r="F16" s="22"/>
      <c r="G16" s="24"/>
      <c r="H16" s="22"/>
      <c r="I16" s="17"/>
      <c r="J16" s="17"/>
      <c r="K16" s="17"/>
      <c r="M16" s="237" t="s">
        <v>75</v>
      </c>
      <c r="N16" s="56">
        <f t="shared" ref="N16:AG16" si="9">$C85</f>
        <v>9.9342990222222216</v>
      </c>
      <c r="O16" s="56">
        <f t="shared" si="9"/>
        <v>9.9342990222222216</v>
      </c>
      <c r="P16" s="56">
        <f t="shared" si="9"/>
        <v>9.9342990222222216</v>
      </c>
      <c r="Q16" s="56">
        <f t="shared" si="9"/>
        <v>9.9342990222222216</v>
      </c>
      <c r="R16" s="56">
        <f t="shared" si="9"/>
        <v>9.9342990222222216</v>
      </c>
      <c r="S16" s="56">
        <f t="shared" si="9"/>
        <v>9.9342990222222216</v>
      </c>
      <c r="T16" s="56">
        <f t="shared" si="9"/>
        <v>9.9342990222222216</v>
      </c>
      <c r="U16" s="56">
        <f t="shared" si="9"/>
        <v>9.9342990222222216</v>
      </c>
      <c r="V16" s="56">
        <f t="shared" si="9"/>
        <v>9.9342990222222216</v>
      </c>
      <c r="W16" s="56">
        <f t="shared" si="9"/>
        <v>9.9342990222222216</v>
      </c>
      <c r="X16" s="56">
        <f t="shared" si="9"/>
        <v>9.9342990222222216</v>
      </c>
      <c r="Y16" s="56">
        <f t="shared" si="9"/>
        <v>9.9342990222222216</v>
      </c>
      <c r="Z16" s="56">
        <f t="shared" si="9"/>
        <v>9.9342990222222216</v>
      </c>
      <c r="AA16" s="56">
        <f t="shared" si="9"/>
        <v>9.9342990222222216</v>
      </c>
      <c r="AB16" s="56">
        <f t="shared" si="9"/>
        <v>9.9342990222222216</v>
      </c>
      <c r="AC16" s="56">
        <f t="shared" si="9"/>
        <v>9.9342990222222216</v>
      </c>
      <c r="AD16" s="56">
        <f t="shared" si="9"/>
        <v>9.9342990222222216</v>
      </c>
      <c r="AE16" s="56">
        <f t="shared" si="9"/>
        <v>9.9342990222222216</v>
      </c>
      <c r="AF16" s="56">
        <f t="shared" si="9"/>
        <v>9.9342990222222216</v>
      </c>
      <c r="AG16" s="56">
        <f t="shared" si="9"/>
        <v>9.9342990222222216</v>
      </c>
      <c r="AH16" s="56">
        <f>$C$20</f>
        <v>8</v>
      </c>
      <c r="AI16" s="56">
        <f t="shared" ref="AI16:BA16" si="10">$C20</f>
        <v>8</v>
      </c>
      <c r="AJ16" s="56">
        <f t="shared" si="10"/>
        <v>8</v>
      </c>
      <c r="AK16" s="56">
        <f t="shared" si="10"/>
        <v>8</v>
      </c>
      <c r="AL16" s="56">
        <f t="shared" si="10"/>
        <v>8</v>
      </c>
      <c r="AM16" s="56">
        <f t="shared" si="10"/>
        <v>8</v>
      </c>
      <c r="AN16" s="56">
        <f t="shared" si="10"/>
        <v>8</v>
      </c>
      <c r="AO16" s="56">
        <f t="shared" si="10"/>
        <v>8</v>
      </c>
      <c r="AP16" s="56">
        <f t="shared" si="10"/>
        <v>8</v>
      </c>
      <c r="AQ16" s="56">
        <f t="shared" si="10"/>
        <v>8</v>
      </c>
      <c r="AR16" s="56">
        <f t="shared" si="10"/>
        <v>8</v>
      </c>
      <c r="AS16" s="56">
        <f t="shared" si="10"/>
        <v>8</v>
      </c>
      <c r="AT16" s="56">
        <f t="shared" si="10"/>
        <v>8</v>
      </c>
      <c r="AU16" s="56">
        <f t="shared" si="10"/>
        <v>8</v>
      </c>
      <c r="AV16" s="56">
        <f t="shared" si="10"/>
        <v>8</v>
      </c>
      <c r="AW16" s="56">
        <f t="shared" si="10"/>
        <v>8</v>
      </c>
      <c r="AX16" s="56">
        <f t="shared" si="10"/>
        <v>8</v>
      </c>
      <c r="AY16" s="56">
        <f t="shared" si="10"/>
        <v>8</v>
      </c>
      <c r="AZ16" s="56">
        <f t="shared" si="10"/>
        <v>8</v>
      </c>
      <c r="BA16" s="56">
        <f t="shared" si="10"/>
        <v>8</v>
      </c>
    </row>
    <row r="17" spans="1:53" x14ac:dyDescent="0.2">
      <c r="A17" s="5" t="s">
        <v>58</v>
      </c>
      <c r="C17" s="2">
        <v>180</v>
      </c>
      <c r="D17" s="5" t="s">
        <v>19</v>
      </c>
      <c r="E17" s="17"/>
      <c r="F17" s="22"/>
      <c r="G17" s="22"/>
      <c r="H17" s="22"/>
      <c r="I17" s="17"/>
      <c r="J17" s="17"/>
      <c r="K17" s="17"/>
      <c r="M17" s="238"/>
      <c r="N17" s="55">
        <f t="shared" ref="N17:BA17" si="11">$C$15*N16/100</f>
        <v>4967149.5111111114</v>
      </c>
      <c r="O17" s="55">
        <f t="shared" si="11"/>
        <v>4967149.5111111114</v>
      </c>
      <c r="P17" s="55">
        <f t="shared" si="11"/>
        <v>4967149.5111111114</v>
      </c>
      <c r="Q17" s="55">
        <f t="shared" si="11"/>
        <v>4967149.5111111114</v>
      </c>
      <c r="R17" s="55">
        <f t="shared" si="11"/>
        <v>4967149.5111111114</v>
      </c>
      <c r="S17" s="55">
        <f t="shared" si="11"/>
        <v>4967149.5111111114</v>
      </c>
      <c r="T17" s="55">
        <f t="shared" si="11"/>
        <v>4967149.5111111114</v>
      </c>
      <c r="U17" s="55">
        <f t="shared" si="11"/>
        <v>4967149.5111111114</v>
      </c>
      <c r="V17" s="55">
        <f t="shared" si="11"/>
        <v>4967149.5111111114</v>
      </c>
      <c r="W17" s="55">
        <f t="shared" si="11"/>
        <v>4967149.5111111114</v>
      </c>
      <c r="X17" s="55">
        <f t="shared" si="11"/>
        <v>4967149.5111111114</v>
      </c>
      <c r="Y17" s="55">
        <f t="shared" si="11"/>
        <v>4967149.5111111114</v>
      </c>
      <c r="Z17" s="55">
        <f t="shared" si="11"/>
        <v>4967149.5111111114</v>
      </c>
      <c r="AA17" s="55">
        <f t="shared" si="11"/>
        <v>4967149.5111111114</v>
      </c>
      <c r="AB17" s="55">
        <f t="shared" si="11"/>
        <v>4967149.5111111114</v>
      </c>
      <c r="AC17" s="55">
        <f t="shared" si="11"/>
        <v>4967149.5111111114</v>
      </c>
      <c r="AD17" s="55">
        <f t="shared" si="11"/>
        <v>4967149.5111111114</v>
      </c>
      <c r="AE17" s="55">
        <f t="shared" si="11"/>
        <v>4967149.5111111114</v>
      </c>
      <c r="AF17" s="55">
        <f t="shared" si="11"/>
        <v>4967149.5111111114</v>
      </c>
      <c r="AG17" s="55">
        <f t="shared" si="11"/>
        <v>4967149.5111111114</v>
      </c>
      <c r="AH17" s="55">
        <f t="shared" si="11"/>
        <v>4000000</v>
      </c>
      <c r="AI17" s="55">
        <f t="shared" si="11"/>
        <v>4000000</v>
      </c>
      <c r="AJ17" s="55">
        <f t="shared" si="11"/>
        <v>4000000</v>
      </c>
      <c r="AK17" s="55">
        <f t="shared" si="11"/>
        <v>4000000</v>
      </c>
      <c r="AL17" s="55">
        <f t="shared" si="11"/>
        <v>4000000</v>
      </c>
      <c r="AM17" s="55">
        <f t="shared" si="11"/>
        <v>4000000</v>
      </c>
      <c r="AN17" s="55">
        <f t="shared" si="11"/>
        <v>4000000</v>
      </c>
      <c r="AO17" s="55">
        <f t="shared" si="11"/>
        <v>4000000</v>
      </c>
      <c r="AP17" s="55">
        <f t="shared" si="11"/>
        <v>4000000</v>
      </c>
      <c r="AQ17" s="55">
        <f t="shared" si="11"/>
        <v>4000000</v>
      </c>
      <c r="AR17" s="55">
        <f t="shared" si="11"/>
        <v>4000000</v>
      </c>
      <c r="AS17" s="55">
        <f t="shared" si="11"/>
        <v>4000000</v>
      </c>
      <c r="AT17" s="55">
        <f t="shared" si="11"/>
        <v>4000000</v>
      </c>
      <c r="AU17" s="55">
        <f t="shared" si="11"/>
        <v>4000000</v>
      </c>
      <c r="AV17" s="55">
        <f t="shared" si="11"/>
        <v>4000000</v>
      </c>
      <c r="AW17" s="55">
        <f t="shared" si="11"/>
        <v>4000000</v>
      </c>
      <c r="AX17" s="55">
        <f t="shared" si="11"/>
        <v>4000000</v>
      </c>
      <c r="AY17" s="55">
        <f t="shared" si="11"/>
        <v>4000000</v>
      </c>
      <c r="AZ17" s="55">
        <f t="shared" si="11"/>
        <v>4000000</v>
      </c>
      <c r="BA17" s="55">
        <f t="shared" si="11"/>
        <v>4000000</v>
      </c>
    </row>
    <row r="18" spans="1:53" x14ac:dyDescent="0.2">
      <c r="A18" s="5" t="s">
        <v>59</v>
      </c>
      <c r="C18" s="1">
        <v>2250000</v>
      </c>
      <c r="D18" s="5" t="s">
        <v>20</v>
      </c>
      <c r="E18" s="17"/>
      <c r="F18" s="22"/>
      <c r="G18" s="22"/>
      <c r="H18" s="22"/>
      <c r="I18" s="17"/>
      <c r="J18" s="17"/>
      <c r="K18" s="17"/>
      <c r="M18" s="237" t="s">
        <v>76</v>
      </c>
      <c r="N18" s="56">
        <f t="shared" ref="N18:AG18" si="12">$C92</f>
        <v>9.3116874666666671</v>
      </c>
      <c r="O18" s="56">
        <f t="shared" si="12"/>
        <v>9.3116874666666671</v>
      </c>
      <c r="P18" s="56">
        <f t="shared" si="12"/>
        <v>9.3116874666666671</v>
      </c>
      <c r="Q18" s="56">
        <f t="shared" si="12"/>
        <v>9.3116874666666671</v>
      </c>
      <c r="R18" s="56">
        <f t="shared" si="12"/>
        <v>9.3116874666666671</v>
      </c>
      <c r="S18" s="56">
        <f t="shared" si="12"/>
        <v>9.3116874666666671</v>
      </c>
      <c r="T18" s="56">
        <f t="shared" si="12"/>
        <v>9.3116874666666671</v>
      </c>
      <c r="U18" s="56">
        <f t="shared" si="12"/>
        <v>9.3116874666666671</v>
      </c>
      <c r="V18" s="56">
        <f t="shared" si="12"/>
        <v>9.3116874666666671</v>
      </c>
      <c r="W18" s="56">
        <f t="shared" si="12"/>
        <v>9.3116874666666671</v>
      </c>
      <c r="X18" s="56">
        <f t="shared" si="12"/>
        <v>9.3116874666666671</v>
      </c>
      <c r="Y18" s="56">
        <f t="shared" si="12"/>
        <v>9.3116874666666671</v>
      </c>
      <c r="Z18" s="56">
        <f t="shared" si="12"/>
        <v>9.3116874666666671</v>
      </c>
      <c r="AA18" s="56">
        <f t="shared" si="12"/>
        <v>9.3116874666666671</v>
      </c>
      <c r="AB18" s="56">
        <f t="shared" si="12"/>
        <v>9.3116874666666671</v>
      </c>
      <c r="AC18" s="56">
        <f t="shared" si="12"/>
        <v>9.3116874666666671</v>
      </c>
      <c r="AD18" s="56">
        <f t="shared" si="12"/>
        <v>9.3116874666666671</v>
      </c>
      <c r="AE18" s="56">
        <f t="shared" si="12"/>
        <v>9.3116874666666671</v>
      </c>
      <c r="AF18" s="56">
        <f t="shared" si="12"/>
        <v>9.3116874666666671</v>
      </c>
      <c r="AG18" s="56">
        <f t="shared" si="12"/>
        <v>9.3116874666666671</v>
      </c>
      <c r="AH18" s="56">
        <f>$C$20</f>
        <v>8</v>
      </c>
      <c r="AI18" s="56">
        <f t="shared" ref="AI18:BA18" si="13">$C$20</f>
        <v>8</v>
      </c>
      <c r="AJ18" s="56">
        <f t="shared" si="13"/>
        <v>8</v>
      </c>
      <c r="AK18" s="56">
        <f t="shared" si="13"/>
        <v>8</v>
      </c>
      <c r="AL18" s="56">
        <f t="shared" si="13"/>
        <v>8</v>
      </c>
      <c r="AM18" s="56">
        <f t="shared" si="13"/>
        <v>8</v>
      </c>
      <c r="AN18" s="56">
        <f t="shared" si="13"/>
        <v>8</v>
      </c>
      <c r="AO18" s="56">
        <f t="shared" si="13"/>
        <v>8</v>
      </c>
      <c r="AP18" s="56">
        <f t="shared" si="13"/>
        <v>8</v>
      </c>
      <c r="AQ18" s="56">
        <f t="shared" si="13"/>
        <v>8</v>
      </c>
      <c r="AR18" s="56">
        <f t="shared" si="13"/>
        <v>8</v>
      </c>
      <c r="AS18" s="56">
        <f t="shared" si="13"/>
        <v>8</v>
      </c>
      <c r="AT18" s="56">
        <f t="shared" si="13"/>
        <v>8</v>
      </c>
      <c r="AU18" s="56">
        <f t="shared" si="13"/>
        <v>8</v>
      </c>
      <c r="AV18" s="56">
        <f t="shared" si="13"/>
        <v>8</v>
      </c>
      <c r="AW18" s="56">
        <f t="shared" si="13"/>
        <v>8</v>
      </c>
      <c r="AX18" s="56">
        <f t="shared" si="13"/>
        <v>8</v>
      </c>
      <c r="AY18" s="56">
        <f t="shared" si="13"/>
        <v>8</v>
      </c>
      <c r="AZ18" s="56">
        <f t="shared" si="13"/>
        <v>8</v>
      </c>
      <c r="BA18" s="56">
        <f t="shared" si="13"/>
        <v>8</v>
      </c>
    </row>
    <row r="19" spans="1:53" x14ac:dyDescent="0.2">
      <c r="A19" s="5" t="s">
        <v>26</v>
      </c>
      <c r="C19" s="66">
        <f>600000</f>
        <v>600000</v>
      </c>
      <c r="D19" s="5" t="s">
        <v>20</v>
      </c>
      <c r="E19" s="17"/>
      <c r="F19" s="22"/>
      <c r="G19" s="22"/>
      <c r="H19" s="22"/>
      <c r="I19" s="17"/>
      <c r="J19" s="17"/>
      <c r="K19" s="17"/>
      <c r="M19" s="238"/>
      <c r="N19" s="55">
        <f t="shared" ref="N19:BA19" si="14">$C$15*N18/100</f>
        <v>4655843.7333333334</v>
      </c>
      <c r="O19" s="55">
        <f t="shared" si="14"/>
        <v>4655843.7333333334</v>
      </c>
      <c r="P19" s="55">
        <f t="shared" si="14"/>
        <v>4655843.7333333334</v>
      </c>
      <c r="Q19" s="55">
        <f t="shared" si="14"/>
        <v>4655843.7333333334</v>
      </c>
      <c r="R19" s="55">
        <f t="shared" si="14"/>
        <v>4655843.7333333334</v>
      </c>
      <c r="S19" s="55">
        <f t="shared" si="14"/>
        <v>4655843.7333333334</v>
      </c>
      <c r="T19" s="55">
        <f t="shared" si="14"/>
        <v>4655843.7333333334</v>
      </c>
      <c r="U19" s="55">
        <f t="shared" si="14"/>
        <v>4655843.7333333334</v>
      </c>
      <c r="V19" s="55">
        <f t="shared" si="14"/>
        <v>4655843.7333333334</v>
      </c>
      <c r="W19" s="55">
        <f t="shared" si="14"/>
        <v>4655843.7333333334</v>
      </c>
      <c r="X19" s="55">
        <f t="shared" si="14"/>
        <v>4655843.7333333334</v>
      </c>
      <c r="Y19" s="55">
        <f t="shared" si="14"/>
        <v>4655843.7333333334</v>
      </c>
      <c r="Z19" s="55">
        <f t="shared" si="14"/>
        <v>4655843.7333333334</v>
      </c>
      <c r="AA19" s="55">
        <f t="shared" si="14"/>
        <v>4655843.7333333334</v>
      </c>
      <c r="AB19" s="55">
        <f t="shared" si="14"/>
        <v>4655843.7333333334</v>
      </c>
      <c r="AC19" s="55">
        <f t="shared" si="14"/>
        <v>4655843.7333333334</v>
      </c>
      <c r="AD19" s="55">
        <f t="shared" si="14"/>
        <v>4655843.7333333334</v>
      </c>
      <c r="AE19" s="55">
        <f t="shared" si="14"/>
        <v>4655843.7333333334</v>
      </c>
      <c r="AF19" s="55">
        <f t="shared" si="14"/>
        <v>4655843.7333333334</v>
      </c>
      <c r="AG19" s="55">
        <f t="shared" si="14"/>
        <v>4655843.7333333334</v>
      </c>
      <c r="AH19" s="55">
        <f t="shared" si="14"/>
        <v>4000000</v>
      </c>
      <c r="AI19" s="55">
        <f t="shared" si="14"/>
        <v>4000000</v>
      </c>
      <c r="AJ19" s="55">
        <f t="shared" si="14"/>
        <v>4000000</v>
      </c>
      <c r="AK19" s="55">
        <f t="shared" si="14"/>
        <v>4000000</v>
      </c>
      <c r="AL19" s="55">
        <f t="shared" si="14"/>
        <v>4000000</v>
      </c>
      <c r="AM19" s="55">
        <f t="shared" si="14"/>
        <v>4000000</v>
      </c>
      <c r="AN19" s="55">
        <f t="shared" si="14"/>
        <v>4000000</v>
      </c>
      <c r="AO19" s="55">
        <f t="shared" si="14"/>
        <v>4000000</v>
      </c>
      <c r="AP19" s="55">
        <f t="shared" si="14"/>
        <v>4000000</v>
      </c>
      <c r="AQ19" s="55">
        <f t="shared" si="14"/>
        <v>4000000</v>
      </c>
      <c r="AR19" s="55">
        <f t="shared" si="14"/>
        <v>4000000</v>
      </c>
      <c r="AS19" s="55">
        <f t="shared" si="14"/>
        <v>4000000</v>
      </c>
      <c r="AT19" s="55">
        <f t="shared" si="14"/>
        <v>4000000</v>
      </c>
      <c r="AU19" s="55">
        <f t="shared" si="14"/>
        <v>4000000</v>
      </c>
      <c r="AV19" s="55">
        <f t="shared" si="14"/>
        <v>4000000</v>
      </c>
      <c r="AW19" s="55">
        <f t="shared" si="14"/>
        <v>4000000</v>
      </c>
      <c r="AX19" s="55">
        <f t="shared" si="14"/>
        <v>4000000</v>
      </c>
      <c r="AY19" s="55">
        <f t="shared" si="14"/>
        <v>4000000</v>
      </c>
      <c r="AZ19" s="55">
        <f t="shared" si="14"/>
        <v>4000000</v>
      </c>
      <c r="BA19" s="55">
        <f t="shared" si="14"/>
        <v>4000000</v>
      </c>
    </row>
    <row r="20" spans="1:53" x14ac:dyDescent="0.2">
      <c r="A20" s="46" t="s">
        <v>37</v>
      </c>
      <c r="C20" s="57">
        <v>8</v>
      </c>
      <c r="D20" s="48" t="s">
        <v>31</v>
      </c>
      <c r="E20" s="17"/>
      <c r="F20" s="22"/>
      <c r="G20" s="22"/>
      <c r="H20" s="22"/>
      <c r="I20" s="17"/>
      <c r="J20" s="17"/>
      <c r="K20" s="17"/>
      <c r="M20" s="237" t="s">
        <v>65</v>
      </c>
      <c r="N20" s="56">
        <f t="shared" ref="N20:AG20" si="15">$C99</f>
        <v>8.7007074666666675</v>
      </c>
      <c r="O20" s="56">
        <f t="shared" si="15"/>
        <v>8.7007074666666675</v>
      </c>
      <c r="P20" s="56">
        <f t="shared" si="15"/>
        <v>8.7007074666666675</v>
      </c>
      <c r="Q20" s="56">
        <f t="shared" si="15"/>
        <v>8.7007074666666675</v>
      </c>
      <c r="R20" s="56">
        <f t="shared" si="15"/>
        <v>8.7007074666666675</v>
      </c>
      <c r="S20" s="56">
        <f t="shared" si="15"/>
        <v>8.7007074666666675</v>
      </c>
      <c r="T20" s="56">
        <f t="shared" si="15"/>
        <v>8.7007074666666675</v>
      </c>
      <c r="U20" s="56">
        <f t="shared" si="15"/>
        <v>8.7007074666666675</v>
      </c>
      <c r="V20" s="56">
        <f t="shared" si="15"/>
        <v>8.7007074666666675</v>
      </c>
      <c r="W20" s="56">
        <f t="shared" si="15"/>
        <v>8.7007074666666675</v>
      </c>
      <c r="X20" s="56">
        <f t="shared" si="15"/>
        <v>8.7007074666666675</v>
      </c>
      <c r="Y20" s="56">
        <f t="shared" si="15"/>
        <v>8.7007074666666675</v>
      </c>
      <c r="Z20" s="56">
        <f t="shared" si="15"/>
        <v>8.7007074666666675</v>
      </c>
      <c r="AA20" s="56">
        <f t="shared" si="15"/>
        <v>8.7007074666666675</v>
      </c>
      <c r="AB20" s="56">
        <f t="shared" si="15"/>
        <v>8.7007074666666675</v>
      </c>
      <c r="AC20" s="56">
        <f t="shared" si="15"/>
        <v>8.7007074666666675</v>
      </c>
      <c r="AD20" s="56">
        <f t="shared" si="15"/>
        <v>8.7007074666666675</v>
      </c>
      <c r="AE20" s="56">
        <f t="shared" si="15"/>
        <v>8.7007074666666675</v>
      </c>
      <c r="AF20" s="56">
        <f t="shared" si="15"/>
        <v>8.7007074666666675</v>
      </c>
      <c r="AG20" s="56">
        <f t="shared" si="15"/>
        <v>8.7007074666666675</v>
      </c>
      <c r="AH20" s="56">
        <f t="shared" ref="AH20:BA20" si="16">$C20</f>
        <v>8</v>
      </c>
      <c r="AI20" s="56">
        <f t="shared" si="16"/>
        <v>8</v>
      </c>
      <c r="AJ20" s="56">
        <f t="shared" si="16"/>
        <v>8</v>
      </c>
      <c r="AK20" s="56">
        <f t="shared" si="16"/>
        <v>8</v>
      </c>
      <c r="AL20" s="56">
        <f t="shared" si="16"/>
        <v>8</v>
      </c>
      <c r="AM20" s="56">
        <f t="shared" si="16"/>
        <v>8</v>
      </c>
      <c r="AN20" s="56">
        <f t="shared" si="16"/>
        <v>8</v>
      </c>
      <c r="AO20" s="56">
        <f t="shared" si="16"/>
        <v>8</v>
      </c>
      <c r="AP20" s="56">
        <f t="shared" si="16"/>
        <v>8</v>
      </c>
      <c r="AQ20" s="56">
        <f t="shared" si="16"/>
        <v>8</v>
      </c>
      <c r="AR20" s="56">
        <f t="shared" si="16"/>
        <v>8</v>
      </c>
      <c r="AS20" s="56">
        <f t="shared" si="16"/>
        <v>8</v>
      </c>
      <c r="AT20" s="56">
        <f t="shared" si="16"/>
        <v>8</v>
      </c>
      <c r="AU20" s="56">
        <f t="shared" si="16"/>
        <v>8</v>
      </c>
      <c r="AV20" s="56">
        <f t="shared" si="16"/>
        <v>8</v>
      </c>
      <c r="AW20" s="56">
        <f t="shared" si="16"/>
        <v>8</v>
      </c>
      <c r="AX20" s="56">
        <f t="shared" si="16"/>
        <v>8</v>
      </c>
      <c r="AY20" s="56">
        <f t="shared" si="16"/>
        <v>8</v>
      </c>
      <c r="AZ20" s="56">
        <f t="shared" si="16"/>
        <v>8</v>
      </c>
      <c r="BA20" s="56">
        <f t="shared" si="16"/>
        <v>8</v>
      </c>
    </row>
    <row r="21" spans="1:53" x14ac:dyDescent="0.2">
      <c r="A21" s="46" t="s">
        <v>39</v>
      </c>
      <c r="C21" s="63">
        <v>3.9699999999999999E-2</v>
      </c>
      <c r="D21" s="48"/>
      <c r="E21" s="16"/>
      <c r="F21" s="22"/>
      <c r="G21" s="22"/>
      <c r="H21" s="22"/>
      <c r="I21" s="17"/>
      <c r="J21" s="17"/>
      <c r="K21" s="17"/>
      <c r="M21" s="238"/>
      <c r="N21" s="55">
        <f t="shared" ref="N21:BA21" si="17">$C$15*N20/100</f>
        <v>4350353.7333333334</v>
      </c>
      <c r="O21" s="55">
        <f t="shared" si="17"/>
        <v>4350353.7333333334</v>
      </c>
      <c r="P21" s="55">
        <f t="shared" si="17"/>
        <v>4350353.7333333334</v>
      </c>
      <c r="Q21" s="55">
        <f t="shared" si="17"/>
        <v>4350353.7333333334</v>
      </c>
      <c r="R21" s="55">
        <f t="shared" si="17"/>
        <v>4350353.7333333334</v>
      </c>
      <c r="S21" s="55">
        <f t="shared" si="17"/>
        <v>4350353.7333333334</v>
      </c>
      <c r="T21" s="55">
        <f t="shared" si="17"/>
        <v>4350353.7333333334</v>
      </c>
      <c r="U21" s="55">
        <f t="shared" si="17"/>
        <v>4350353.7333333334</v>
      </c>
      <c r="V21" s="55">
        <f t="shared" si="17"/>
        <v>4350353.7333333334</v>
      </c>
      <c r="W21" s="55">
        <f t="shared" si="17"/>
        <v>4350353.7333333334</v>
      </c>
      <c r="X21" s="55">
        <f t="shared" si="17"/>
        <v>4350353.7333333334</v>
      </c>
      <c r="Y21" s="55">
        <f t="shared" si="17"/>
        <v>4350353.7333333334</v>
      </c>
      <c r="Z21" s="55">
        <f t="shared" si="17"/>
        <v>4350353.7333333334</v>
      </c>
      <c r="AA21" s="55">
        <f t="shared" si="17"/>
        <v>4350353.7333333334</v>
      </c>
      <c r="AB21" s="55">
        <f t="shared" si="17"/>
        <v>4350353.7333333334</v>
      </c>
      <c r="AC21" s="55">
        <f t="shared" si="17"/>
        <v>4350353.7333333334</v>
      </c>
      <c r="AD21" s="55">
        <f t="shared" si="17"/>
        <v>4350353.7333333334</v>
      </c>
      <c r="AE21" s="55">
        <f t="shared" si="17"/>
        <v>4350353.7333333334</v>
      </c>
      <c r="AF21" s="55">
        <f t="shared" si="17"/>
        <v>4350353.7333333334</v>
      </c>
      <c r="AG21" s="55">
        <f t="shared" si="17"/>
        <v>4350353.7333333334</v>
      </c>
      <c r="AH21" s="55">
        <f t="shared" si="17"/>
        <v>4000000</v>
      </c>
      <c r="AI21" s="55">
        <f t="shared" si="17"/>
        <v>4000000</v>
      </c>
      <c r="AJ21" s="55">
        <f t="shared" si="17"/>
        <v>4000000</v>
      </c>
      <c r="AK21" s="55">
        <f t="shared" si="17"/>
        <v>4000000</v>
      </c>
      <c r="AL21" s="55">
        <f t="shared" si="17"/>
        <v>4000000</v>
      </c>
      <c r="AM21" s="55">
        <f t="shared" si="17"/>
        <v>4000000</v>
      </c>
      <c r="AN21" s="55">
        <f t="shared" si="17"/>
        <v>4000000</v>
      </c>
      <c r="AO21" s="55">
        <f t="shared" si="17"/>
        <v>4000000</v>
      </c>
      <c r="AP21" s="55">
        <f t="shared" si="17"/>
        <v>4000000</v>
      </c>
      <c r="AQ21" s="55">
        <f t="shared" si="17"/>
        <v>4000000</v>
      </c>
      <c r="AR21" s="55">
        <f t="shared" si="17"/>
        <v>4000000</v>
      </c>
      <c r="AS21" s="55">
        <f t="shared" si="17"/>
        <v>4000000</v>
      </c>
      <c r="AT21" s="55">
        <f t="shared" si="17"/>
        <v>4000000</v>
      </c>
      <c r="AU21" s="55">
        <f t="shared" si="17"/>
        <v>4000000</v>
      </c>
      <c r="AV21" s="55">
        <f t="shared" si="17"/>
        <v>4000000</v>
      </c>
      <c r="AW21" s="55">
        <f t="shared" si="17"/>
        <v>4000000</v>
      </c>
      <c r="AX21" s="55">
        <f t="shared" si="17"/>
        <v>4000000</v>
      </c>
      <c r="AY21" s="55">
        <f t="shared" si="17"/>
        <v>4000000</v>
      </c>
      <c r="AZ21" s="55">
        <f t="shared" si="17"/>
        <v>4000000</v>
      </c>
      <c r="BA21" s="55">
        <f t="shared" si="17"/>
        <v>4000000</v>
      </c>
    </row>
    <row r="22" spans="1:53" x14ac:dyDescent="0.2">
      <c r="A22" s="46" t="s">
        <v>40</v>
      </c>
      <c r="C22" s="9">
        <v>40</v>
      </c>
      <c r="D22" s="48" t="s">
        <v>36</v>
      </c>
      <c r="E22" s="16"/>
      <c r="F22" s="22"/>
      <c r="G22" s="22"/>
      <c r="H22" s="22"/>
      <c r="I22" s="17"/>
      <c r="J22" s="17"/>
      <c r="K22" s="17"/>
      <c r="M22" s="237" t="s">
        <v>66</v>
      </c>
      <c r="N22" s="56">
        <f t="shared" ref="N22:AG22" si="18">$C109</f>
        <v>9.3022656000000001</v>
      </c>
      <c r="O22" s="56">
        <f t="shared" si="18"/>
        <v>9.3022656000000001</v>
      </c>
      <c r="P22" s="56">
        <f t="shared" si="18"/>
        <v>9.3022656000000001</v>
      </c>
      <c r="Q22" s="56">
        <f t="shared" si="18"/>
        <v>9.3022656000000001</v>
      </c>
      <c r="R22" s="56">
        <f t="shared" si="18"/>
        <v>9.3022656000000001</v>
      </c>
      <c r="S22" s="56">
        <f t="shared" si="18"/>
        <v>9.3022656000000001</v>
      </c>
      <c r="T22" s="56">
        <f t="shared" si="18"/>
        <v>9.3022656000000001</v>
      </c>
      <c r="U22" s="56">
        <f t="shared" si="18"/>
        <v>9.3022656000000001</v>
      </c>
      <c r="V22" s="56">
        <f t="shared" si="18"/>
        <v>9.3022656000000001</v>
      </c>
      <c r="W22" s="56">
        <f t="shared" si="18"/>
        <v>9.3022656000000001</v>
      </c>
      <c r="X22" s="56">
        <f t="shared" si="18"/>
        <v>9.3022656000000001</v>
      </c>
      <c r="Y22" s="56">
        <f t="shared" si="18"/>
        <v>9.3022656000000001</v>
      </c>
      <c r="Z22" s="56">
        <f t="shared" si="18"/>
        <v>9.3022656000000001</v>
      </c>
      <c r="AA22" s="56">
        <f t="shared" si="18"/>
        <v>9.3022656000000001</v>
      </c>
      <c r="AB22" s="56">
        <f t="shared" si="18"/>
        <v>9.3022656000000001</v>
      </c>
      <c r="AC22" s="56">
        <f t="shared" si="18"/>
        <v>9.3022656000000001</v>
      </c>
      <c r="AD22" s="56">
        <f t="shared" si="18"/>
        <v>9.3022656000000001</v>
      </c>
      <c r="AE22" s="56">
        <f t="shared" si="18"/>
        <v>9.3022656000000001</v>
      </c>
      <c r="AF22" s="56">
        <f t="shared" si="18"/>
        <v>9.3022656000000001</v>
      </c>
      <c r="AG22" s="56">
        <f t="shared" si="18"/>
        <v>9.3022656000000001</v>
      </c>
      <c r="AH22" s="56">
        <f t="shared" ref="AH22:BA22" si="19">$C20</f>
        <v>8</v>
      </c>
      <c r="AI22" s="56">
        <f t="shared" si="19"/>
        <v>8</v>
      </c>
      <c r="AJ22" s="56">
        <f t="shared" si="19"/>
        <v>8</v>
      </c>
      <c r="AK22" s="56">
        <f t="shared" si="19"/>
        <v>8</v>
      </c>
      <c r="AL22" s="56">
        <f t="shared" si="19"/>
        <v>8</v>
      </c>
      <c r="AM22" s="56">
        <f t="shared" si="19"/>
        <v>8</v>
      </c>
      <c r="AN22" s="56">
        <f t="shared" si="19"/>
        <v>8</v>
      </c>
      <c r="AO22" s="56">
        <f t="shared" si="19"/>
        <v>8</v>
      </c>
      <c r="AP22" s="56">
        <f t="shared" si="19"/>
        <v>8</v>
      </c>
      <c r="AQ22" s="56">
        <f t="shared" si="19"/>
        <v>8</v>
      </c>
      <c r="AR22" s="56">
        <f t="shared" si="19"/>
        <v>8</v>
      </c>
      <c r="AS22" s="56">
        <f t="shared" si="19"/>
        <v>8</v>
      </c>
      <c r="AT22" s="56">
        <f t="shared" si="19"/>
        <v>8</v>
      </c>
      <c r="AU22" s="56">
        <f t="shared" si="19"/>
        <v>8</v>
      </c>
      <c r="AV22" s="56">
        <f t="shared" si="19"/>
        <v>8</v>
      </c>
      <c r="AW22" s="56">
        <f t="shared" si="19"/>
        <v>8</v>
      </c>
      <c r="AX22" s="56">
        <f t="shared" si="19"/>
        <v>8</v>
      </c>
      <c r="AY22" s="56">
        <f t="shared" si="19"/>
        <v>8</v>
      </c>
      <c r="AZ22" s="56">
        <f t="shared" si="19"/>
        <v>8</v>
      </c>
      <c r="BA22" s="56">
        <f t="shared" si="19"/>
        <v>8</v>
      </c>
    </row>
    <row r="23" spans="1:53" s="8" customFormat="1" x14ac:dyDescent="0.2">
      <c r="D23" s="9"/>
      <c r="E23" s="22"/>
      <c r="F23" s="25"/>
      <c r="G23" s="22"/>
      <c r="H23" s="22"/>
      <c r="I23" s="22"/>
      <c r="J23" s="22"/>
      <c r="K23" s="22"/>
      <c r="M23" s="238"/>
      <c r="N23" s="55">
        <f t="shared" ref="N23:BA23" si="20">$C$15*N22/100</f>
        <v>4651132.8</v>
      </c>
      <c r="O23" s="55">
        <f t="shared" si="20"/>
        <v>4651132.8</v>
      </c>
      <c r="P23" s="55">
        <f t="shared" si="20"/>
        <v>4651132.8</v>
      </c>
      <c r="Q23" s="55">
        <f t="shared" si="20"/>
        <v>4651132.8</v>
      </c>
      <c r="R23" s="55">
        <f t="shared" si="20"/>
        <v>4651132.8</v>
      </c>
      <c r="S23" s="55">
        <f t="shared" si="20"/>
        <v>4651132.8</v>
      </c>
      <c r="T23" s="55">
        <f t="shared" si="20"/>
        <v>4651132.8</v>
      </c>
      <c r="U23" s="55">
        <f t="shared" si="20"/>
        <v>4651132.8</v>
      </c>
      <c r="V23" s="55">
        <f t="shared" si="20"/>
        <v>4651132.8</v>
      </c>
      <c r="W23" s="55">
        <f t="shared" si="20"/>
        <v>4651132.8</v>
      </c>
      <c r="X23" s="55">
        <f t="shared" si="20"/>
        <v>4651132.8</v>
      </c>
      <c r="Y23" s="55">
        <f t="shared" si="20"/>
        <v>4651132.8</v>
      </c>
      <c r="Z23" s="55">
        <f t="shared" si="20"/>
        <v>4651132.8</v>
      </c>
      <c r="AA23" s="55">
        <f t="shared" si="20"/>
        <v>4651132.8</v>
      </c>
      <c r="AB23" s="55">
        <f t="shared" si="20"/>
        <v>4651132.8</v>
      </c>
      <c r="AC23" s="55">
        <f t="shared" si="20"/>
        <v>4651132.8</v>
      </c>
      <c r="AD23" s="55">
        <f t="shared" si="20"/>
        <v>4651132.8</v>
      </c>
      <c r="AE23" s="55">
        <f t="shared" si="20"/>
        <v>4651132.8</v>
      </c>
      <c r="AF23" s="55">
        <f t="shared" si="20"/>
        <v>4651132.8</v>
      </c>
      <c r="AG23" s="55">
        <f t="shared" si="20"/>
        <v>4651132.8</v>
      </c>
      <c r="AH23" s="55">
        <f t="shared" si="20"/>
        <v>4000000</v>
      </c>
      <c r="AI23" s="55">
        <f t="shared" si="20"/>
        <v>4000000</v>
      </c>
      <c r="AJ23" s="55">
        <f t="shared" si="20"/>
        <v>4000000</v>
      </c>
      <c r="AK23" s="55">
        <f t="shared" si="20"/>
        <v>4000000</v>
      </c>
      <c r="AL23" s="55">
        <f t="shared" si="20"/>
        <v>4000000</v>
      </c>
      <c r="AM23" s="55">
        <f t="shared" si="20"/>
        <v>4000000</v>
      </c>
      <c r="AN23" s="55">
        <f t="shared" si="20"/>
        <v>4000000</v>
      </c>
      <c r="AO23" s="55">
        <f t="shared" si="20"/>
        <v>4000000</v>
      </c>
      <c r="AP23" s="55">
        <f t="shared" si="20"/>
        <v>4000000</v>
      </c>
      <c r="AQ23" s="55">
        <f t="shared" si="20"/>
        <v>4000000</v>
      </c>
      <c r="AR23" s="55">
        <f t="shared" si="20"/>
        <v>4000000</v>
      </c>
      <c r="AS23" s="55">
        <f t="shared" si="20"/>
        <v>4000000</v>
      </c>
      <c r="AT23" s="55">
        <f t="shared" si="20"/>
        <v>4000000</v>
      </c>
      <c r="AU23" s="55">
        <f t="shared" si="20"/>
        <v>4000000</v>
      </c>
      <c r="AV23" s="55">
        <f t="shared" si="20"/>
        <v>4000000</v>
      </c>
      <c r="AW23" s="55">
        <f t="shared" si="20"/>
        <v>4000000</v>
      </c>
      <c r="AX23" s="55">
        <f t="shared" si="20"/>
        <v>4000000</v>
      </c>
      <c r="AY23" s="55">
        <f t="shared" si="20"/>
        <v>4000000</v>
      </c>
      <c r="AZ23" s="55">
        <f t="shared" si="20"/>
        <v>4000000</v>
      </c>
      <c r="BA23" s="55">
        <f t="shared" si="20"/>
        <v>4000000</v>
      </c>
    </row>
    <row r="24" spans="1:53" s="22" customFormat="1" hidden="1" outlineLevel="1" x14ac:dyDescent="0.2">
      <c r="A24" s="33" t="s">
        <v>3</v>
      </c>
      <c r="F24" s="23"/>
      <c r="M24" s="237" t="s">
        <v>67</v>
      </c>
      <c r="N24" s="56">
        <f t="shared" ref="N24:AG24" si="21">$C116</f>
        <v>8.6912856000000005</v>
      </c>
      <c r="O24" s="56">
        <f t="shared" si="21"/>
        <v>8.6912856000000005</v>
      </c>
      <c r="P24" s="56">
        <f t="shared" si="21"/>
        <v>8.6912856000000005</v>
      </c>
      <c r="Q24" s="56">
        <f t="shared" si="21"/>
        <v>8.6912856000000005</v>
      </c>
      <c r="R24" s="56">
        <f t="shared" si="21"/>
        <v>8.6912856000000005</v>
      </c>
      <c r="S24" s="56">
        <f t="shared" si="21"/>
        <v>8.6912856000000005</v>
      </c>
      <c r="T24" s="56">
        <f t="shared" si="21"/>
        <v>8.6912856000000005</v>
      </c>
      <c r="U24" s="56">
        <f t="shared" si="21"/>
        <v>8.6912856000000005</v>
      </c>
      <c r="V24" s="56">
        <f t="shared" si="21"/>
        <v>8.6912856000000005</v>
      </c>
      <c r="W24" s="56">
        <f t="shared" si="21"/>
        <v>8.6912856000000005</v>
      </c>
      <c r="X24" s="56">
        <f t="shared" si="21"/>
        <v>8.6912856000000005</v>
      </c>
      <c r="Y24" s="56">
        <f t="shared" si="21"/>
        <v>8.6912856000000005</v>
      </c>
      <c r="Z24" s="56">
        <f t="shared" si="21"/>
        <v>8.6912856000000005</v>
      </c>
      <c r="AA24" s="56">
        <f t="shared" si="21"/>
        <v>8.6912856000000005</v>
      </c>
      <c r="AB24" s="56">
        <f t="shared" si="21"/>
        <v>8.6912856000000005</v>
      </c>
      <c r="AC24" s="56">
        <f t="shared" si="21"/>
        <v>8.6912856000000005</v>
      </c>
      <c r="AD24" s="56">
        <f t="shared" si="21"/>
        <v>8.6912856000000005</v>
      </c>
      <c r="AE24" s="56">
        <f t="shared" si="21"/>
        <v>8.6912856000000005</v>
      </c>
      <c r="AF24" s="56">
        <f t="shared" si="21"/>
        <v>8.6912856000000005</v>
      </c>
      <c r="AG24" s="56">
        <f t="shared" si="21"/>
        <v>8.6912856000000005</v>
      </c>
      <c r="AH24" s="56">
        <f t="shared" ref="AH24:BA24" si="22">$C20</f>
        <v>8</v>
      </c>
      <c r="AI24" s="56">
        <f t="shared" si="22"/>
        <v>8</v>
      </c>
      <c r="AJ24" s="56">
        <f t="shared" si="22"/>
        <v>8</v>
      </c>
      <c r="AK24" s="56">
        <f t="shared" si="22"/>
        <v>8</v>
      </c>
      <c r="AL24" s="56">
        <f t="shared" si="22"/>
        <v>8</v>
      </c>
      <c r="AM24" s="56">
        <f t="shared" si="22"/>
        <v>8</v>
      </c>
      <c r="AN24" s="56">
        <f t="shared" si="22"/>
        <v>8</v>
      </c>
      <c r="AO24" s="56">
        <f t="shared" si="22"/>
        <v>8</v>
      </c>
      <c r="AP24" s="56">
        <f t="shared" si="22"/>
        <v>8</v>
      </c>
      <c r="AQ24" s="56">
        <f t="shared" si="22"/>
        <v>8</v>
      </c>
      <c r="AR24" s="56">
        <f t="shared" si="22"/>
        <v>8</v>
      </c>
      <c r="AS24" s="56">
        <f t="shared" si="22"/>
        <v>8</v>
      </c>
      <c r="AT24" s="56">
        <f t="shared" si="22"/>
        <v>8</v>
      </c>
      <c r="AU24" s="56">
        <f t="shared" si="22"/>
        <v>8</v>
      </c>
      <c r="AV24" s="56">
        <f t="shared" si="22"/>
        <v>8</v>
      </c>
      <c r="AW24" s="56">
        <f t="shared" si="22"/>
        <v>8</v>
      </c>
      <c r="AX24" s="56">
        <f t="shared" si="22"/>
        <v>8</v>
      </c>
      <c r="AY24" s="56">
        <f t="shared" si="22"/>
        <v>8</v>
      </c>
      <c r="AZ24" s="56">
        <f t="shared" si="22"/>
        <v>8</v>
      </c>
      <c r="BA24" s="56">
        <f t="shared" si="22"/>
        <v>8</v>
      </c>
    </row>
    <row r="25" spans="1:53" s="22" customFormat="1" hidden="1" outlineLevel="1" x14ac:dyDescent="0.2">
      <c r="A25" s="22" t="s">
        <v>4</v>
      </c>
      <c r="D25" s="24"/>
      <c r="G25" s="24"/>
      <c r="M25" s="238"/>
      <c r="N25" s="55">
        <f t="shared" ref="N25:BA25" si="23">$C$15*N24/100</f>
        <v>4345642.8</v>
      </c>
      <c r="O25" s="55">
        <f t="shared" si="23"/>
        <v>4345642.8</v>
      </c>
      <c r="P25" s="55">
        <f t="shared" si="23"/>
        <v>4345642.8</v>
      </c>
      <c r="Q25" s="55">
        <f t="shared" si="23"/>
        <v>4345642.8</v>
      </c>
      <c r="R25" s="55">
        <f t="shared" si="23"/>
        <v>4345642.8</v>
      </c>
      <c r="S25" s="55">
        <f t="shared" si="23"/>
        <v>4345642.8</v>
      </c>
      <c r="T25" s="55">
        <f t="shared" si="23"/>
        <v>4345642.8</v>
      </c>
      <c r="U25" s="55">
        <f t="shared" si="23"/>
        <v>4345642.8</v>
      </c>
      <c r="V25" s="55">
        <f t="shared" si="23"/>
        <v>4345642.8</v>
      </c>
      <c r="W25" s="55">
        <f t="shared" si="23"/>
        <v>4345642.8</v>
      </c>
      <c r="X25" s="55">
        <f t="shared" si="23"/>
        <v>4345642.8</v>
      </c>
      <c r="Y25" s="55">
        <f t="shared" si="23"/>
        <v>4345642.8</v>
      </c>
      <c r="Z25" s="55">
        <f t="shared" si="23"/>
        <v>4345642.8</v>
      </c>
      <c r="AA25" s="55">
        <f t="shared" si="23"/>
        <v>4345642.8</v>
      </c>
      <c r="AB25" s="55">
        <f t="shared" si="23"/>
        <v>4345642.8</v>
      </c>
      <c r="AC25" s="55">
        <f t="shared" si="23"/>
        <v>4345642.8</v>
      </c>
      <c r="AD25" s="55">
        <f t="shared" si="23"/>
        <v>4345642.8</v>
      </c>
      <c r="AE25" s="55">
        <f t="shared" si="23"/>
        <v>4345642.8</v>
      </c>
      <c r="AF25" s="55">
        <f t="shared" si="23"/>
        <v>4345642.8</v>
      </c>
      <c r="AG25" s="55">
        <f t="shared" si="23"/>
        <v>4345642.8</v>
      </c>
      <c r="AH25" s="55">
        <f t="shared" si="23"/>
        <v>4000000</v>
      </c>
      <c r="AI25" s="55">
        <f t="shared" si="23"/>
        <v>4000000</v>
      </c>
      <c r="AJ25" s="55">
        <f t="shared" si="23"/>
        <v>4000000</v>
      </c>
      <c r="AK25" s="55">
        <f t="shared" si="23"/>
        <v>4000000</v>
      </c>
      <c r="AL25" s="55">
        <f t="shared" si="23"/>
        <v>4000000</v>
      </c>
      <c r="AM25" s="55">
        <f t="shared" si="23"/>
        <v>4000000</v>
      </c>
      <c r="AN25" s="55">
        <f t="shared" si="23"/>
        <v>4000000</v>
      </c>
      <c r="AO25" s="55">
        <f t="shared" si="23"/>
        <v>4000000</v>
      </c>
      <c r="AP25" s="55">
        <f t="shared" si="23"/>
        <v>4000000</v>
      </c>
      <c r="AQ25" s="55">
        <f t="shared" si="23"/>
        <v>4000000</v>
      </c>
      <c r="AR25" s="55">
        <f t="shared" si="23"/>
        <v>4000000</v>
      </c>
      <c r="AS25" s="55">
        <f t="shared" si="23"/>
        <v>4000000</v>
      </c>
      <c r="AT25" s="55">
        <f t="shared" si="23"/>
        <v>4000000</v>
      </c>
      <c r="AU25" s="55">
        <f t="shared" si="23"/>
        <v>4000000</v>
      </c>
      <c r="AV25" s="55">
        <f t="shared" si="23"/>
        <v>4000000</v>
      </c>
      <c r="AW25" s="55">
        <f t="shared" si="23"/>
        <v>4000000</v>
      </c>
      <c r="AX25" s="55">
        <f t="shared" si="23"/>
        <v>4000000</v>
      </c>
      <c r="AY25" s="55">
        <f t="shared" si="23"/>
        <v>4000000</v>
      </c>
      <c r="AZ25" s="55">
        <f t="shared" si="23"/>
        <v>4000000</v>
      </c>
      <c r="BA25" s="55">
        <f t="shared" si="23"/>
        <v>4000000</v>
      </c>
    </row>
    <row r="26" spans="1:53" s="22" customFormat="1" hidden="1" outlineLevel="1" x14ac:dyDescent="0.2">
      <c r="G26" s="23"/>
      <c r="M26" s="237" t="s">
        <v>68</v>
      </c>
      <c r="N26" s="56">
        <f>$C126</f>
        <v>9.3116874666666671</v>
      </c>
      <c r="O26" s="56">
        <f t="shared" ref="O26:AG26" si="24">$C126</f>
        <v>9.3116874666666671</v>
      </c>
      <c r="P26" s="56">
        <f t="shared" si="24"/>
        <v>9.3116874666666671</v>
      </c>
      <c r="Q26" s="56">
        <f t="shared" si="24"/>
        <v>9.3116874666666671</v>
      </c>
      <c r="R26" s="56">
        <f t="shared" si="24"/>
        <v>9.3116874666666671</v>
      </c>
      <c r="S26" s="56">
        <f t="shared" si="24"/>
        <v>9.3116874666666671</v>
      </c>
      <c r="T26" s="56">
        <f t="shared" si="24"/>
        <v>9.3116874666666671</v>
      </c>
      <c r="U26" s="56">
        <f t="shared" si="24"/>
        <v>9.3116874666666671</v>
      </c>
      <c r="V26" s="56">
        <f t="shared" si="24"/>
        <v>9.3116874666666671</v>
      </c>
      <c r="W26" s="56">
        <f t="shared" si="24"/>
        <v>9.3116874666666671</v>
      </c>
      <c r="X26" s="56">
        <f t="shared" si="24"/>
        <v>9.3116874666666671</v>
      </c>
      <c r="Y26" s="56">
        <f t="shared" si="24"/>
        <v>9.3116874666666671</v>
      </c>
      <c r="Z26" s="56">
        <f t="shared" si="24"/>
        <v>9.3116874666666671</v>
      </c>
      <c r="AA26" s="56">
        <f t="shared" si="24"/>
        <v>9.3116874666666671</v>
      </c>
      <c r="AB26" s="56">
        <f t="shared" si="24"/>
        <v>9.3116874666666671</v>
      </c>
      <c r="AC26" s="56">
        <f t="shared" si="24"/>
        <v>9.3116874666666671</v>
      </c>
      <c r="AD26" s="56">
        <f t="shared" si="24"/>
        <v>9.3116874666666671</v>
      </c>
      <c r="AE26" s="56">
        <f t="shared" si="24"/>
        <v>9.3116874666666671</v>
      </c>
      <c r="AF26" s="56">
        <f t="shared" si="24"/>
        <v>9.3116874666666671</v>
      </c>
      <c r="AG26" s="56">
        <f t="shared" si="24"/>
        <v>9.3116874666666671</v>
      </c>
      <c r="AH26" s="56">
        <f t="shared" ref="AH26:BA26" si="25">$C20</f>
        <v>8</v>
      </c>
      <c r="AI26" s="56">
        <f t="shared" si="25"/>
        <v>8</v>
      </c>
      <c r="AJ26" s="56">
        <f t="shared" si="25"/>
        <v>8</v>
      </c>
      <c r="AK26" s="56">
        <f t="shared" si="25"/>
        <v>8</v>
      </c>
      <c r="AL26" s="56">
        <f t="shared" si="25"/>
        <v>8</v>
      </c>
      <c r="AM26" s="56">
        <f t="shared" si="25"/>
        <v>8</v>
      </c>
      <c r="AN26" s="56">
        <f t="shared" si="25"/>
        <v>8</v>
      </c>
      <c r="AO26" s="56">
        <f t="shared" si="25"/>
        <v>8</v>
      </c>
      <c r="AP26" s="56">
        <f t="shared" si="25"/>
        <v>8</v>
      </c>
      <c r="AQ26" s="56">
        <f t="shared" si="25"/>
        <v>8</v>
      </c>
      <c r="AR26" s="56">
        <f t="shared" si="25"/>
        <v>8</v>
      </c>
      <c r="AS26" s="56">
        <f t="shared" si="25"/>
        <v>8</v>
      </c>
      <c r="AT26" s="56">
        <f t="shared" si="25"/>
        <v>8</v>
      </c>
      <c r="AU26" s="56">
        <f t="shared" si="25"/>
        <v>8</v>
      </c>
      <c r="AV26" s="56">
        <f t="shared" si="25"/>
        <v>8</v>
      </c>
      <c r="AW26" s="56">
        <f t="shared" si="25"/>
        <v>8</v>
      </c>
      <c r="AX26" s="56">
        <f t="shared" si="25"/>
        <v>8</v>
      </c>
      <c r="AY26" s="56">
        <f t="shared" si="25"/>
        <v>8</v>
      </c>
      <c r="AZ26" s="56">
        <f t="shared" si="25"/>
        <v>8</v>
      </c>
      <c r="BA26" s="56">
        <f t="shared" si="25"/>
        <v>8</v>
      </c>
    </row>
    <row r="27" spans="1:53" s="17" customFormat="1" hidden="1" outlineLevel="1" x14ac:dyDescent="0.2">
      <c r="A27" s="34" t="s">
        <v>5</v>
      </c>
      <c r="F27" s="26"/>
      <c r="G27" s="27" t="s">
        <v>1</v>
      </c>
      <c r="H27" s="27" t="s">
        <v>1</v>
      </c>
      <c r="I27" s="27" t="s">
        <v>1</v>
      </c>
      <c r="J27" s="27" t="s">
        <v>1</v>
      </c>
      <c r="K27" s="27" t="s">
        <v>6</v>
      </c>
      <c r="M27" s="238"/>
      <c r="N27" s="55">
        <f t="shared" ref="N27:BA27" si="26">$C$15*N26/100</f>
        <v>4655843.7333333334</v>
      </c>
      <c r="O27" s="55">
        <f t="shared" si="26"/>
        <v>4655843.7333333334</v>
      </c>
      <c r="P27" s="55">
        <f t="shared" si="26"/>
        <v>4655843.7333333334</v>
      </c>
      <c r="Q27" s="55">
        <f t="shared" si="26"/>
        <v>4655843.7333333334</v>
      </c>
      <c r="R27" s="55">
        <f t="shared" si="26"/>
        <v>4655843.7333333334</v>
      </c>
      <c r="S27" s="55">
        <f t="shared" si="26"/>
        <v>4655843.7333333334</v>
      </c>
      <c r="T27" s="55">
        <f t="shared" si="26"/>
        <v>4655843.7333333334</v>
      </c>
      <c r="U27" s="55">
        <f t="shared" si="26"/>
        <v>4655843.7333333334</v>
      </c>
      <c r="V27" s="55">
        <f t="shared" si="26"/>
        <v>4655843.7333333334</v>
      </c>
      <c r="W27" s="55">
        <f t="shared" si="26"/>
        <v>4655843.7333333334</v>
      </c>
      <c r="X27" s="55">
        <f t="shared" si="26"/>
        <v>4655843.7333333334</v>
      </c>
      <c r="Y27" s="55">
        <f t="shared" si="26"/>
        <v>4655843.7333333334</v>
      </c>
      <c r="Z27" s="55">
        <f t="shared" si="26"/>
        <v>4655843.7333333334</v>
      </c>
      <c r="AA27" s="55">
        <f t="shared" si="26"/>
        <v>4655843.7333333334</v>
      </c>
      <c r="AB27" s="55">
        <f t="shared" si="26"/>
        <v>4655843.7333333334</v>
      </c>
      <c r="AC27" s="55">
        <f t="shared" si="26"/>
        <v>4655843.7333333334</v>
      </c>
      <c r="AD27" s="55">
        <f t="shared" si="26"/>
        <v>4655843.7333333334</v>
      </c>
      <c r="AE27" s="55">
        <f t="shared" si="26"/>
        <v>4655843.7333333334</v>
      </c>
      <c r="AF27" s="55">
        <f t="shared" si="26"/>
        <v>4655843.7333333334</v>
      </c>
      <c r="AG27" s="55">
        <f t="shared" si="26"/>
        <v>4655843.7333333334</v>
      </c>
      <c r="AH27" s="55">
        <f t="shared" si="26"/>
        <v>4000000</v>
      </c>
      <c r="AI27" s="55">
        <f t="shared" si="26"/>
        <v>4000000</v>
      </c>
      <c r="AJ27" s="55">
        <f t="shared" si="26"/>
        <v>4000000</v>
      </c>
      <c r="AK27" s="55">
        <f t="shared" si="26"/>
        <v>4000000</v>
      </c>
      <c r="AL27" s="55">
        <f t="shared" si="26"/>
        <v>4000000</v>
      </c>
      <c r="AM27" s="55">
        <f t="shared" si="26"/>
        <v>4000000</v>
      </c>
      <c r="AN27" s="55">
        <f t="shared" si="26"/>
        <v>4000000</v>
      </c>
      <c r="AO27" s="55">
        <f t="shared" si="26"/>
        <v>4000000</v>
      </c>
      <c r="AP27" s="55">
        <f t="shared" si="26"/>
        <v>4000000</v>
      </c>
      <c r="AQ27" s="55">
        <f t="shared" si="26"/>
        <v>4000000</v>
      </c>
      <c r="AR27" s="55">
        <f t="shared" si="26"/>
        <v>4000000</v>
      </c>
      <c r="AS27" s="55">
        <f t="shared" si="26"/>
        <v>4000000</v>
      </c>
      <c r="AT27" s="55">
        <f t="shared" si="26"/>
        <v>4000000</v>
      </c>
      <c r="AU27" s="55">
        <f t="shared" si="26"/>
        <v>4000000</v>
      </c>
      <c r="AV27" s="55">
        <f t="shared" si="26"/>
        <v>4000000</v>
      </c>
      <c r="AW27" s="55">
        <f t="shared" si="26"/>
        <v>4000000</v>
      </c>
      <c r="AX27" s="55">
        <f t="shared" si="26"/>
        <v>4000000</v>
      </c>
      <c r="AY27" s="55">
        <f t="shared" si="26"/>
        <v>4000000</v>
      </c>
      <c r="AZ27" s="55">
        <f t="shared" si="26"/>
        <v>4000000</v>
      </c>
      <c r="BA27" s="55">
        <f t="shared" si="26"/>
        <v>4000000</v>
      </c>
    </row>
    <row r="28" spans="1:53" s="17" customFormat="1" hidden="1" outlineLevel="1" x14ac:dyDescent="0.2">
      <c r="F28" s="26" t="s">
        <v>2</v>
      </c>
      <c r="G28" s="28">
        <v>5</v>
      </c>
      <c r="H28" s="28">
        <v>10</v>
      </c>
      <c r="I28" s="28">
        <v>20</v>
      </c>
      <c r="J28" s="28">
        <v>50</v>
      </c>
      <c r="K28" s="28">
        <v>50</v>
      </c>
      <c r="M28" s="237" t="s">
        <v>79</v>
      </c>
      <c r="N28" s="56">
        <f>$C133</f>
        <v>8.7007074666666675</v>
      </c>
      <c r="O28" s="56">
        <f t="shared" ref="O28:AG28" si="27">$C133</f>
        <v>8.7007074666666675</v>
      </c>
      <c r="P28" s="56">
        <f t="shared" si="27"/>
        <v>8.7007074666666675</v>
      </c>
      <c r="Q28" s="56">
        <f t="shared" si="27"/>
        <v>8.7007074666666675</v>
      </c>
      <c r="R28" s="56">
        <f t="shared" si="27"/>
        <v>8.7007074666666675</v>
      </c>
      <c r="S28" s="56">
        <f t="shared" si="27"/>
        <v>8.7007074666666675</v>
      </c>
      <c r="T28" s="56">
        <f t="shared" si="27"/>
        <v>8.7007074666666675</v>
      </c>
      <c r="U28" s="56">
        <f t="shared" si="27"/>
        <v>8.7007074666666675</v>
      </c>
      <c r="V28" s="56">
        <f t="shared" si="27"/>
        <v>8.7007074666666675</v>
      </c>
      <c r="W28" s="56">
        <f t="shared" si="27"/>
        <v>8.7007074666666675</v>
      </c>
      <c r="X28" s="56">
        <f t="shared" si="27"/>
        <v>8.7007074666666675</v>
      </c>
      <c r="Y28" s="56">
        <f t="shared" si="27"/>
        <v>8.7007074666666675</v>
      </c>
      <c r="Z28" s="56">
        <f t="shared" si="27"/>
        <v>8.7007074666666675</v>
      </c>
      <c r="AA28" s="56">
        <f t="shared" si="27"/>
        <v>8.7007074666666675</v>
      </c>
      <c r="AB28" s="56">
        <f t="shared" si="27"/>
        <v>8.7007074666666675</v>
      </c>
      <c r="AC28" s="56">
        <f t="shared" si="27"/>
        <v>8.7007074666666675</v>
      </c>
      <c r="AD28" s="56">
        <f t="shared" si="27"/>
        <v>8.7007074666666675</v>
      </c>
      <c r="AE28" s="56">
        <f t="shared" si="27"/>
        <v>8.7007074666666675</v>
      </c>
      <c r="AF28" s="56">
        <f t="shared" si="27"/>
        <v>8.7007074666666675</v>
      </c>
      <c r="AG28" s="56">
        <f t="shared" si="27"/>
        <v>8.7007074666666675</v>
      </c>
      <c r="AH28" s="56">
        <f t="shared" ref="AH28:BA28" si="28">$C20</f>
        <v>8</v>
      </c>
      <c r="AI28" s="56">
        <f t="shared" si="28"/>
        <v>8</v>
      </c>
      <c r="AJ28" s="56">
        <f t="shared" si="28"/>
        <v>8</v>
      </c>
      <c r="AK28" s="56">
        <f t="shared" si="28"/>
        <v>8</v>
      </c>
      <c r="AL28" s="56">
        <f t="shared" si="28"/>
        <v>8</v>
      </c>
      <c r="AM28" s="56">
        <f t="shared" si="28"/>
        <v>8</v>
      </c>
      <c r="AN28" s="56">
        <f t="shared" si="28"/>
        <v>8</v>
      </c>
      <c r="AO28" s="56">
        <f t="shared" si="28"/>
        <v>8</v>
      </c>
      <c r="AP28" s="56">
        <f t="shared" si="28"/>
        <v>8</v>
      </c>
      <c r="AQ28" s="56">
        <f t="shared" si="28"/>
        <v>8</v>
      </c>
      <c r="AR28" s="56">
        <f t="shared" si="28"/>
        <v>8</v>
      </c>
      <c r="AS28" s="56">
        <f t="shared" si="28"/>
        <v>8</v>
      </c>
      <c r="AT28" s="56">
        <f t="shared" si="28"/>
        <v>8</v>
      </c>
      <c r="AU28" s="56">
        <f t="shared" si="28"/>
        <v>8</v>
      </c>
      <c r="AV28" s="56">
        <f t="shared" si="28"/>
        <v>8</v>
      </c>
      <c r="AW28" s="56">
        <f t="shared" si="28"/>
        <v>8</v>
      </c>
      <c r="AX28" s="56">
        <f t="shared" si="28"/>
        <v>8</v>
      </c>
      <c r="AY28" s="56">
        <f t="shared" si="28"/>
        <v>8</v>
      </c>
      <c r="AZ28" s="56">
        <f t="shared" si="28"/>
        <v>8</v>
      </c>
      <c r="BA28" s="56">
        <f t="shared" si="28"/>
        <v>8</v>
      </c>
    </row>
    <row r="29" spans="1:53" s="17" customFormat="1" hidden="1" outlineLevel="1" x14ac:dyDescent="0.2">
      <c r="A29" s="17" t="s">
        <v>7</v>
      </c>
      <c r="F29" s="26" t="s">
        <v>8</v>
      </c>
      <c r="G29" s="29">
        <v>4.5</v>
      </c>
      <c r="H29" s="29">
        <v>2.7</v>
      </c>
      <c r="I29" s="29">
        <v>2</v>
      </c>
      <c r="J29" s="29">
        <v>1.5</v>
      </c>
      <c r="K29" s="29">
        <v>1</v>
      </c>
      <c r="M29" s="238"/>
      <c r="N29" s="55">
        <f t="shared" ref="N29:BA29" si="29">$C$15*N28/100</f>
        <v>4350353.7333333334</v>
      </c>
      <c r="O29" s="55">
        <f t="shared" si="29"/>
        <v>4350353.7333333334</v>
      </c>
      <c r="P29" s="55">
        <f t="shared" si="29"/>
        <v>4350353.7333333334</v>
      </c>
      <c r="Q29" s="55">
        <f t="shared" si="29"/>
        <v>4350353.7333333334</v>
      </c>
      <c r="R29" s="55">
        <f t="shared" si="29"/>
        <v>4350353.7333333334</v>
      </c>
      <c r="S29" s="55">
        <f t="shared" si="29"/>
        <v>4350353.7333333334</v>
      </c>
      <c r="T29" s="55">
        <f t="shared" si="29"/>
        <v>4350353.7333333334</v>
      </c>
      <c r="U29" s="55">
        <f t="shared" si="29"/>
        <v>4350353.7333333334</v>
      </c>
      <c r="V29" s="55">
        <f t="shared" si="29"/>
        <v>4350353.7333333334</v>
      </c>
      <c r="W29" s="55">
        <f t="shared" si="29"/>
        <v>4350353.7333333334</v>
      </c>
      <c r="X29" s="55">
        <f t="shared" si="29"/>
        <v>4350353.7333333334</v>
      </c>
      <c r="Y29" s="55">
        <f t="shared" si="29"/>
        <v>4350353.7333333334</v>
      </c>
      <c r="Z29" s="55">
        <f t="shared" si="29"/>
        <v>4350353.7333333334</v>
      </c>
      <c r="AA29" s="55">
        <f t="shared" si="29"/>
        <v>4350353.7333333334</v>
      </c>
      <c r="AB29" s="55">
        <f t="shared" si="29"/>
        <v>4350353.7333333334</v>
      </c>
      <c r="AC29" s="55">
        <f t="shared" si="29"/>
        <v>4350353.7333333334</v>
      </c>
      <c r="AD29" s="55">
        <f t="shared" si="29"/>
        <v>4350353.7333333334</v>
      </c>
      <c r="AE29" s="55">
        <f t="shared" si="29"/>
        <v>4350353.7333333334</v>
      </c>
      <c r="AF29" s="55">
        <f t="shared" si="29"/>
        <v>4350353.7333333334</v>
      </c>
      <c r="AG29" s="55">
        <f t="shared" si="29"/>
        <v>4350353.7333333334</v>
      </c>
      <c r="AH29" s="55">
        <f t="shared" si="29"/>
        <v>4000000</v>
      </c>
      <c r="AI29" s="55">
        <f t="shared" si="29"/>
        <v>4000000</v>
      </c>
      <c r="AJ29" s="55">
        <f t="shared" si="29"/>
        <v>4000000</v>
      </c>
      <c r="AK29" s="55">
        <f t="shared" si="29"/>
        <v>4000000</v>
      </c>
      <c r="AL29" s="55">
        <f t="shared" si="29"/>
        <v>4000000</v>
      </c>
      <c r="AM29" s="55">
        <f t="shared" si="29"/>
        <v>4000000</v>
      </c>
      <c r="AN29" s="55">
        <f t="shared" si="29"/>
        <v>4000000</v>
      </c>
      <c r="AO29" s="55">
        <f t="shared" si="29"/>
        <v>4000000</v>
      </c>
      <c r="AP29" s="55">
        <f t="shared" si="29"/>
        <v>4000000</v>
      </c>
      <c r="AQ29" s="55">
        <f t="shared" si="29"/>
        <v>4000000</v>
      </c>
      <c r="AR29" s="55">
        <f t="shared" si="29"/>
        <v>4000000</v>
      </c>
      <c r="AS29" s="55">
        <f t="shared" si="29"/>
        <v>4000000</v>
      </c>
      <c r="AT29" s="55">
        <f t="shared" si="29"/>
        <v>4000000</v>
      </c>
      <c r="AU29" s="55">
        <f t="shared" si="29"/>
        <v>4000000</v>
      </c>
      <c r="AV29" s="55">
        <f t="shared" si="29"/>
        <v>4000000</v>
      </c>
      <c r="AW29" s="55">
        <f t="shared" si="29"/>
        <v>4000000</v>
      </c>
      <c r="AX29" s="55">
        <f t="shared" si="29"/>
        <v>4000000</v>
      </c>
      <c r="AY29" s="55">
        <f t="shared" si="29"/>
        <v>4000000</v>
      </c>
      <c r="AZ29" s="55">
        <f t="shared" si="29"/>
        <v>4000000</v>
      </c>
      <c r="BA29" s="55">
        <f t="shared" si="29"/>
        <v>4000000</v>
      </c>
    </row>
    <row r="30" spans="1:53" s="17" customFormat="1" hidden="1" outlineLevel="1" x14ac:dyDescent="0.2">
      <c r="F30" s="22"/>
      <c r="G30" s="22"/>
      <c r="H30" s="22"/>
      <c r="I30" s="22"/>
      <c r="J30" s="22"/>
      <c r="K30" s="22"/>
      <c r="L30" s="22"/>
      <c r="M30" s="237" t="s">
        <v>80</v>
      </c>
      <c r="N30" s="56">
        <f>$C$44</f>
        <v>9.0793289777777773</v>
      </c>
      <c r="O30" s="56">
        <f t="shared" ref="O30:AB30" si="30">$C$44</f>
        <v>9.0793289777777773</v>
      </c>
      <c r="P30" s="56">
        <f t="shared" si="30"/>
        <v>9.0793289777777773</v>
      </c>
      <c r="Q30" s="56">
        <f t="shared" si="30"/>
        <v>9.0793289777777773</v>
      </c>
      <c r="R30" s="56">
        <f t="shared" si="30"/>
        <v>9.0793289777777773</v>
      </c>
      <c r="S30" s="56">
        <f t="shared" si="30"/>
        <v>9.0793289777777773</v>
      </c>
      <c r="T30" s="56">
        <f t="shared" si="30"/>
        <v>9.0793289777777773</v>
      </c>
      <c r="U30" s="56">
        <f t="shared" si="30"/>
        <v>9.0793289777777773</v>
      </c>
      <c r="V30" s="56">
        <f t="shared" si="30"/>
        <v>9.0793289777777773</v>
      </c>
      <c r="W30" s="56">
        <f t="shared" si="30"/>
        <v>9.0793289777777773</v>
      </c>
      <c r="X30" s="56">
        <f t="shared" si="30"/>
        <v>9.0793289777777773</v>
      </c>
      <c r="Y30" s="56">
        <f t="shared" si="30"/>
        <v>9.0793289777777773</v>
      </c>
      <c r="Z30" s="56">
        <f t="shared" si="30"/>
        <v>9.0793289777777773</v>
      </c>
      <c r="AA30" s="56">
        <f t="shared" si="30"/>
        <v>9.0793289777777773</v>
      </c>
      <c r="AB30" s="56">
        <f t="shared" si="30"/>
        <v>9.0793289777777773</v>
      </c>
      <c r="AC30" s="56">
        <f>$C$20</f>
        <v>8</v>
      </c>
      <c r="AD30" s="56">
        <f t="shared" ref="AD30:AG30" si="31">$C20</f>
        <v>8</v>
      </c>
      <c r="AE30" s="56">
        <f t="shared" si="31"/>
        <v>8</v>
      </c>
      <c r="AF30" s="56">
        <f t="shared" si="31"/>
        <v>8</v>
      </c>
      <c r="AG30" s="56">
        <f t="shared" si="31"/>
        <v>8</v>
      </c>
      <c r="AH30" s="56">
        <f>$C20</f>
        <v>8</v>
      </c>
      <c r="AI30" s="56">
        <f t="shared" ref="AI30:BA30" si="32">$C20</f>
        <v>8</v>
      </c>
      <c r="AJ30" s="56">
        <f t="shared" si="32"/>
        <v>8</v>
      </c>
      <c r="AK30" s="56">
        <f t="shared" si="32"/>
        <v>8</v>
      </c>
      <c r="AL30" s="56">
        <f t="shared" si="32"/>
        <v>8</v>
      </c>
      <c r="AM30" s="56">
        <f t="shared" si="32"/>
        <v>8</v>
      </c>
      <c r="AN30" s="56">
        <f t="shared" si="32"/>
        <v>8</v>
      </c>
      <c r="AO30" s="56">
        <f t="shared" si="32"/>
        <v>8</v>
      </c>
      <c r="AP30" s="56">
        <f t="shared" si="32"/>
        <v>8</v>
      </c>
      <c r="AQ30" s="56">
        <f t="shared" si="32"/>
        <v>8</v>
      </c>
      <c r="AR30" s="56">
        <f t="shared" si="32"/>
        <v>8</v>
      </c>
      <c r="AS30" s="56">
        <f t="shared" si="32"/>
        <v>8</v>
      </c>
      <c r="AT30" s="56">
        <f t="shared" si="32"/>
        <v>8</v>
      </c>
      <c r="AU30" s="56">
        <f t="shared" si="32"/>
        <v>8</v>
      </c>
      <c r="AV30" s="56">
        <f t="shared" si="32"/>
        <v>8</v>
      </c>
      <c r="AW30" s="56">
        <f t="shared" si="32"/>
        <v>8</v>
      </c>
      <c r="AX30" s="56">
        <f t="shared" si="32"/>
        <v>8</v>
      </c>
      <c r="AY30" s="56">
        <f t="shared" si="32"/>
        <v>8</v>
      </c>
      <c r="AZ30" s="56">
        <f t="shared" si="32"/>
        <v>8</v>
      </c>
      <c r="BA30" s="56">
        <f t="shared" si="32"/>
        <v>8</v>
      </c>
    </row>
    <row r="31" spans="1:53" s="17" customFormat="1" hidden="1" outlineLevel="1" x14ac:dyDescent="0.2">
      <c r="F31" s="26" t="s">
        <v>9</v>
      </c>
      <c r="G31" s="30">
        <v>10</v>
      </c>
      <c r="H31" s="30">
        <v>50</v>
      </c>
      <c r="I31" s="30">
        <v>300</v>
      </c>
      <c r="J31" s="30">
        <v>1000</v>
      </c>
      <c r="K31" s="30">
        <v>10000</v>
      </c>
      <c r="L31" s="22"/>
      <c r="M31" s="238"/>
      <c r="N31" s="55">
        <f t="shared" ref="N31" si="33">$C$15*N30/100</f>
        <v>4539664.4888888886</v>
      </c>
      <c r="O31" s="55">
        <f t="shared" ref="O31" si="34">$C$15*O30/100</f>
        <v>4539664.4888888886</v>
      </c>
      <c r="P31" s="55">
        <f t="shared" ref="P31" si="35">$C$15*P30/100</f>
        <v>4539664.4888888886</v>
      </c>
      <c r="Q31" s="55">
        <f t="shared" ref="Q31" si="36">$C$15*Q30/100</f>
        <v>4539664.4888888886</v>
      </c>
      <c r="R31" s="55">
        <f t="shared" ref="R31" si="37">$C$15*R30/100</f>
        <v>4539664.4888888886</v>
      </c>
      <c r="S31" s="55">
        <f t="shared" ref="S31" si="38">$C$15*S30/100</f>
        <v>4539664.4888888886</v>
      </c>
      <c r="T31" s="55">
        <f t="shared" ref="T31" si="39">$C$15*T30/100</f>
        <v>4539664.4888888886</v>
      </c>
      <c r="U31" s="55">
        <f t="shared" ref="U31" si="40">$C$15*U30/100</f>
        <v>4539664.4888888886</v>
      </c>
      <c r="V31" s="55">
        <f t="shared" ref="V31" si="41">$C$15*V30/100</f>
        <v>4539664.4888888886</v>
      </c>
      <c r="W31" s="55">
        <f t="shared" ref="W31" si="42">$C$15*W30/100</f>
        <v>4539664.4888888886</v>
      </c>
      <c r="X31" s="55">
        <f t="shared" ref="X31" si="43">$C$15*X30/100</f>
        <v>4539664.4888888886</v>
      </c>
      <c r="Y31" s="55">
        <f t="shared" ref="Y31" si="44">$C$15*Y30/100</f>
        <v>4539664.4888888886</v>
      </c>
      <c r="Z31" s="55">
        <f t="shared" ref="Z31" si="45">$C$15*Z30/100</f>
        <v>4539664.4888888886</v>
      </c>
      <c r="AA31" s="55">
        <f t="shared" ref="AA31" si="46">$C$15*AA30/100</f>
        <v>4539664.4888888886</v>
      </c>
      <c r="AB31" s="55">
        <f t="shared" ref="AB31" si="47">$C$15*AB30/100</f>
        <v>4539664.4888888886</v>
      </c>
      <c r="AC31" s="55">
        <f t="shared" ref="AC31" si="48">$C$15*AC30/100</f>
        <v>4000000</v>
      </c>
      <c r="AD31" s="55">
        <f t="shared" ref="AD31" si="49">$C$15*AD30/100</f>
        <v>4000000</v>
      </c>
      <c r="AE31" s="55">
        <f t="shared" ref="AE31" si="50">$C$15*AE30/100</f>
        <v>4000000</v>
      </c>
      <c r="AF31" s="55">
        <f t="shared" ref="AF31" si="51">$C$15*AF30/100</f>
        <v>4000000</v>
      </c>
      <c r="AG31" s="55">
        <f t="shared" ref="AG31" si="52">$C$15*AG30/100</f>
        <v>4000000</v>
      </c>
      <c r="AH31" s="55">
        <f t="shared" ref="AH31" si="53">$C$15*AH30/100</f>
        <v>4000000</v>
      </c>
      <c r="AI31" s="55">
        <f t="shared" ref="AI31" si="54">$C$15*AI30/100</f>
        <v>4000000</v>
      </c>
      <c r="AJ31" s="55">
        <f t="shared" ref="AJ31" si="55">$C$15*AJ30/100</f>
        <v>4000000</v>
      </c>
      <c r="AK31" s="55">
        <f t="shared" ref="AK31" si="56">$C$15*AK30/100</f>
        <v>4000000</v>
      </c>
      <c r="AL31" s="55">
        <f t="shared" ref="AL31" si="57">$C$15*AL30/100</f>
        <v>4000000</v>
      </c>
      <c r="AM31" s="55">
        <f t="shared" ref="AM31" si="58">$C$15*AM30/100</f>
        <v>4000000</v>
      </c>
      <c r="AN31" s="55">
        <f t="shared" ref="AN31" si="59">$C$15*AN30/100</f>
        <v>4000000</v>
      </c>
      <c r="AO31" s="55">
        <f t="shared" ref="AO31" si="60">$C$15*AO30/100</f>
        <v>4000000</v>
      </c>
      <c r="AP31" s="55">
        <f t="shared" ref="AP31" si="61">$C$15*AP30/100</f>
        <v>4000000</v>
      </c>
      <c r="AQ31" s="55">
        <f t="shared" ref="AQ31" si="62">$C$15*AQ30/100</f>
        <v>4000000</v>
      </c>
      <c r="AR31" s="55">
        <f t="shared" ref="AR31" si="63">$C$15*AR30/100</f>
        <v>4000000</v>
      </c>
      <c r="AS31" s="55">
        <f t="shared" ref="AS31" si="64">$C$15*AS30/100</f>
        <v>4000000</v>
      </c>
      <c r="AT31" s="55">
        <f t="shared" ref="AT31" si="65">$C$15*AT30/100</f>
        <v>4000000</v>
      </c>
      <c r="AU31" s="55">
        <f t="shared" ref="AU31" si="66">$C$15*AU30/100</f>
        <v>4000000</v>
      </c>
      <c r="AV31" s="55">
        <f t="shared" ref="AV31" si="67">$C$15*AV30/100</f>
        <v>4000000</v>
      </c>
      <c r="AW31" s="55">
        <f t="shared" ref="AW31" si="68">$C$15*AW30/100</f>
        <v>4000000</v>
      </c>
      <c r="AX31" s="55">
        <f t="shared" ref="AX31" si="69">$C$15*AX30/100</f>
        <v>4000000</v>
      </c>
      <c r="AY31" s="55">
        <f t="shared" ref="AY31" si="70">$C$15*AY30/100</f>
        <v>4000000</v>
      </c>
      <c r="AZ31" s="55">
        <f t="shared" ref="AZ31" si="71">$C$15*AZ30/100</f>
        <v>4000000</v>
      </c>
      <c r="BA31" s="55">
        <f t="shared" ref="BA31" si="72">$C$15*BA30/100</f>
        <v>4000000</v>
      </c>
    </row>
    <row r="32" spans="1:53" s="17" customFormat="1" hidden="1" outlineLevel="1" x14ac:dyDescent="0.2">
      <c r="A32" s="17" t="s">
        <v>10</v>
      </c>
      <c r="F32" s="26" t="s">
        <v>11</v>
      </c>
      <c r="G32" s="31">
        <v>5.5</v>
      </c>
      <c r="H32" s="31">
        <v>4</v>
      </c>
      <c r="I32" s="31">
        <v>3</v>
      </c>
      <c r="J32" s="31">
        <v>2.5</v>
      </c>
      <c r="K32" s="31">
        <v>2.5</v>
      </c>
      <c r="M32" s="237" t="s">
        <v>87</v>
      </c>
      <c r="N32" s="56">
        <f>$C$50</f>
        <v>8.7452471999999997</v>
      </c>
      <c r="O32" s="56">
        <f t="shared" ref="O32:AB32" si="73">$C$50</f>
        <v>8.7452471999999997</v>
      </c>
      <c r="P32" s="56">
        <f t="shared" si="73"/>
        <v>8.7452471999999997</v>
      </c>
      <c r="Q32" s="56">
        <f t="shared" si="73"/>
        <v>8.7452471999999997</v>
      </c>
      <c r="R32" s="56">
        <f t="shared" si="73"/>
        <v>8.7452471999999997</v>
      </c>
      <c r="S32" s="56">
        <f t="shared" si="73"/>
        <v>8.7452471999999997</v>
      </c>
      <c r="T32" s="56">
        <f t="shared" si="73"/>
        <v>8.7452471999999997</v>
      </c>
      <c r="U32" s="56">
        <f t="shared" si="73"/>
        <v>8.7452471999999997</v>
      </c>
      <c r="V32" s="56">
        <f t="shared" si="73"/>
        <v>8.7452471999999997</v>
      </c>
      <c r="W32" s="56">
        <f t="shared" si="73"/>
        <v>8.7452471999999997</v>
      </c>
      <c r="X32" s="56">
        <f t="shared" si="73"/>
        <v>8.7452471999999997</v>
      </c>
      <c r="Y32" s="56">
        <f t="shared" si="73"/>
        <v>8.7452471999999997</v>
      </c>
      <c r="Z32" s="56">
        <f t="shared" si="73"/>
        <v>8.7452471999999997</v>
      </c>
      <c r="AA32" s="56">
        <f t="shared" si="73"/>
        <v>8.7452471999999997</v>
      </c>
      <c r="AB32" s="56">
        <f t="shared" si="73"/>
        <v>8.7452471999999997</v>
      </c>
      <c r="AC32" s="56">
        <f>$C$20</f>
        <v>8</v>
      </c>
      <c r="AD32" s="56">
        <f t="shared" ref="AD32:BA34" si="74">$C$20</f>
        <v>8</v>
      </c>
      <c r="AE32" s="56">
        <f t="shared" si="74"/>
        <v>8</v>
      </c>
      <c r="AF32" s="56">
        <f t="shared" si="74"/>
        <v>8</v>
      </c>
      <c r="AG32" s="56">
        <f t="shared" si="74"/>
        <v>8</v>
      </c>
      <c r="AH32" s="56">
        <f t="shared" si="74"/>
        <v>8</v>
      </c>
      <c r="AI32" s="56">
        <f t="shared" si="74"/>
        <v>8</v>
      </c>
      <c r="AJ32" s="56">
        <f t="shared" si="74"/>
        <v>8</v>
      </c>
      <c r="AK32" s="56">
        <f t="shared" si="74"/>
        <v>8</v>
      </c>
      <c r="AL32" s="56">
        <f t="shared" si="74"/>
        <v>8</v>
      </c>
      <c r="AM32" s="56">
        <f t="shared" si="74"/>
        <v>8</v>
      </c>
      <c r="AN32" s="56">
        <f t="shared" si="74"/>
        <v>8</v>
      </c>
      <c r="AO32" s="56">
        <f t="shared" si="74"/>
        <v>8</v>
      </c>
      <c r="AP32" s="56">
        <f t="shared" si="74"/>
        <v>8</v>
      </c>
      <c r="AQ32" s="56">
        <f t="shared" si="74"/>
        <v>8</v>
      </c>
      <c r="AR32" s="56">
        <f t="shared" si="74"/>
        <v>8</v>
      </c>
      <c r="AS32" s="56">
        <f t="shared" si="74"/>
        <v>8</v>
      </c>
      <c r="AT32" s="56">
        <f t="shared" si="74"/>
        <v>8</v>
      </c>
      <c r="AU32" s="56">
        <f t="shared" si="74"/>
        <v>8</v>
      </c>
      <c r="AV32" s="56">
        <f t="shared" si="74"/>
        <v>8</v>
      </c>
      <c r="AW32" s="56">
        <f t="shared" si="74"/>
        <v>8</v>
      </c>
      <c r="AX32" s="56">
        <f t="shared" si="74"/>
        <v>8</v>
      </c>
      <c r="AY32" s="56">
        <f t="shared" si="74"/>
        <v>8</v>
      </c>
      <c r="AZ32" s="56">
        <f t="shared" si="74"/>
        <v>8</v>
      </c>
      <c r="BA32" s="56">
        <f t="shared" si="74"/>
        <v>8</v>
      </c>
    </row>
    <row r="33" spans="1:53" s="17" customFormat="1" hidden="1" outlineLevel="1" x14ac:dyDescent="0.2">
      <c r="D33" s="35"/>
      <c r="M33" s="238"/>
      <c r="N33" s="55">
        <f t="shared" ref="N33" si="75">$C$15*N32/100</f>
        <v>4372623.5999999996</v>
      </c>
      <c r="O33" s="55">
        <f t="shared" ref="O33" si="76">$C$15*O32/100</f>
        <v>4372623.5999999996</v>
      </c>
      <c r="P33" s="55">
        <f t="shared" ref="P33" si="77">$C$15*P32/100</f>
        <v>4372623.5999999996</v>
      </c>
      <c r="Q33" s="55">
        <f t="shared" ref="Q33" si="78">$C$15*Q32/100</f>
        <v>4372623.5999999996</v>
      </c>
      <c r="R33" s="55">
        <f t="shared" ref="R33" si="79">$C$15*R32/100</f>
        <v>4372623.5999999996</v>
      </c>
      <c r="S33" s="55">
        <f t="shared" ref="S33" si="80">$C$15*S32/100</f>
        <v>4372623.5999999996</v>
      </c>
      <c r="T33" s="55">
        <f t="shared" ref="T33" si="81">$C$15*T32/100</f>
        <v>4372623.5999999996</v>
      </c>
      <c r="U33" s="55">
        <f t="shared" ref="U33" si="82">$C$15*U32/100</f>
        <v>4372623.5999999996</v>
      </c>
      <c r="V33" s="55">
        <f t="shared" ref="V33" si="83">$C$15*V32/100</f>
        <v>4372623.5999999996</v>
      </c>
      <c r="W33" s="55">
        <f t="shared" ref="W33" si="84">$C$15*W32/100</f>
        <v>4372623.5999999996</v>
      </c>
      <c r="X33" s="55">
        <f t="shared" ref="X33" si="85">$C$15*X32/100</f>
        <v>4372623.5999999996</v>
      </c>
      <c r="Y33" s="55">
        <f t="shared" ref="Y33" si="86">$C$15*Y32/100</f>
        <v>4372623.5999999996</v>
      </c>
      <c r="Z33" s="55">
        <f t="shared" ref="Z33" si="87">$C$15*Z32/100</f>
        <v>4372623.5999999996</v>
      </c>
      <c r="AA33" s="55">
        <f t="shared" ref="AA33" si="88">$C$15*AA32/100</f>
        <v>4372623.5999999996</v>
      </c>
      <c r="AB33" s="55">
        <f t="shared" ref="AB33" si="89">$C$15*AB32/100</f>
        <v>4372623.5999999996</v>
      </c>
      <c r="AC33" s="55">
        <f t="shared" ref="AC33" si="90">$C$15*AC32/100</f>
        <v>4000000</v>
      </c>
      <c r="AD33" s="55">
        <f t="shared" ref="AD33" si="91">$C$15*AD32/100</f>
        <v>4000000</v>
      </c>
      <c r="AE33" s="55">
        <f t="shared" ref="AE33" si="92">$C$15*AE32/100</f>
        <v>4000000</v>
      </c>
      <c r="AF33" s="55">
        <f t="shared" ref="AF33" si="93">$C$15*AF32/100</f>
        <v>4000000</v>
      </c>
      <c r="AG33" s="55">
        <f t="shared" ref="AG33" si="94">$C$15*AG32/100</f>
        <v>4000000</v>
      </c>
      <c r="AH33" s="55">
        <f t="shared" ref="AH33" si="95">$C$15*AH32/100</f>
        <v>4000000</v>
      </c>
      <c r="AI33" s="55">
        <f t="shared" ref="AI33" si="96">$C$15*AI32/100</f>
        <v>4000000</v>
      </c>
      <c r="AJ33" s="55">
        <f t="shared" ref="AJ33" si="97">$C$15*AJ32/100</f>
        <v>4000000</v>
      </c>
      <c r="AK33" s="55">
        <f t="shared" ref="AK33" si="98">$C$15*AK32/100</f>
        <v>4000000</v>
      </c>
      <c r="AL33" s="55">
        <f t="shared" ref="AL33" si="99">$C$15*AL32/100</f>
        <v>4000000</v>
      </c>
      <c r="AM33" s="55">
        <f t="shared" ref="AM33" si="100">$C$15*AM32/100</f>
        <v>4000000</v>
      </c>
      <c r="AN33" s="55">
        <f t="shared" ref="AN33" si="101">$C$15*AN32/100</f>
        <v>4000000</v>
      </c>
      <c r="AO33" s="55">
        <f t="shared" ref="AO33" si="102">$C$15*AO32/100</f>
        <v>4000000</v>
      </c>
      <c r="AP33" s="55">
        <f t="shared" ref="AP33" si="103">$C$15*AP32/100</f>
        <v>4000000</v>
      </c>
      <c r="AQ33" s="55">
        <f t="shared" ref="AQ33" si="104">$C$15*AQ32/100</f>
        <v>4000000</v>
      </c>
      <c r="AR33" s="55">
        <f t="shared" ref="AR33" si="105">$C$15*AR32/100</f>
        <v>4000000</v>
      </c>
      <c r="AS33" s="55">
        <f t="shared" ref="AS33" si="106">$C$15*AS32/100</f>
        <v>4000000</v>
      </c>
      <c r="AT33" s="55">
        <f t="shared" ref="AT33" si="107">$C$15*AT32/100</f>
        <v>4000000</v>
      </c>
      <c r="AU33" s="55">
        <f t="shared" ref="AU33" si="108">$C$15*AU32/100</f>
        <v>4000000</v>
      </c>
      <c r="AV33" s="55">
        <f t="shared" ref="AV33" si="109">$C$15*AV32/100</f>
        <v>4000000</v>
      </c>
      <c r="AW33" s="55">
        <f t="shared" ref="AW33" si="110">$C$15*AW32/100</f>
        <v>4000000</v>
      </c>
      <c r="AX33" s="55">
        <f t="shared" ref="AX33" si="111">$C$15*AX32/100</f>
        <v>4000000</v>
      </c>
      <c r="AY33" s="55">
        <f t="shared" ref="AY33" si="112">$C$15*AY32/100</f>
        <v>4000000</v>
      </c>
      <c r="AZ33" s="55">
        <f t="shared" ref="AZ33" si="113">$C$15*AZ32/100</f>
        <v>4000000</v>
      </c>
      <c r="BA33" s="55">
        <f t="shared" ref="BA33" si="114">$C$15*BA32/100</f>
        <v>4000000</v>
      </c>
    </row>
    <row r="34" spans="1:53" hidden="1" outlineLevel="1" x14ac:dyDescent="0.2">
      <c r="A34" s="5" t="s">
        <v>12</v>
      </c>
      <c r="B34" s="5" t="s">
        <v>13</v>
      </c>
      <c r="C34" s="10">
        <f>IF((C19/C18)&lt;0.2,0,IF((C19/C18)&gt;0.5,1,((C19/C18)-0.2)/0.3))*IF(C14&lt;=10,HLOOKUP(10,neubau,2),IF(C14&lt;=50,(10*HLOOKUP(10,neubau,2)+(C14-10)*HLOOKUP(50,neubau,2))/C14,IF(C14&lt;=300,(10*HLOOKUP(10,neubau,2)+40*HLOOKUP(50,neubau,2)+(C14-10-40)*HLOOKUP(300,neubau,2))/C14,IF(C14&lt;=1000,(10*HLOOKUP(10,neubau,2)+40*HLOOKUP(50,neubau,2)+250*HLOOKUP(300,neubau,2)+(C14-10-40-250)*HLOOKUP(1000,neubau,2))/C14,IF(C14&lt;=10000,(10*HLOOKUP(10,neubau,2)+40*HLOOKUP(50,neubau,2)+250*HLOOKUP(300,neubau,2)+700*HLOOKUP(1000,neubau,2)+(C14-10-40-250-700)*HLOOKUP(10000,neubau,2))/C14,0)))))</f>
        <v>0.56392622222222211</v>
      </c>
      <c r="D34" s="3">
        <f>IF((C19/C18)&lt;0.2,0,IF((C19/C18)&gt;0.5,1,((C19/C18)-0.2)/0.3))*IF(C14&lt;=10,HLOOKUP(10,neubau,2),IF(C14&lt;=50,HLOOKUP(50,neubau,2),IF(C14&lt;=300,HLOOKUP(300,neubau,2),IF(C14&lt;=1000,HLOOKUP(1000,neubau,2),IF(C14&lt;=10000,HLOOKUP(10000,neubau,2))))))</f>
        <v>0.55555555555555547</v>
      </c>
      <c r="E34" s="17"/>
      <c r="F34" s="17"/>
      <c r="G34" s="17"/>
      <c r="H34" s="17"/>
      <c r="I34" s="17"/>
      <c r="J34" s="17"/>
      <c r="K34" s="17"/>
      <c r="M34" s="237" t="s">
        <v>88</v>
      </c>
      <c r="N34" s="56">
        <f>$C$57</f>
        <v>8.7549026666666663</v>
      </c>
      <c r="O34" s="56">
        <f t="shared" ref="O34:AB34" si="115">$C$57</f>
        <v>8.7549026666666663</v>
      </c>
      <c r="P34" s="56">
        <f t="shared" si="115"/>
        <v>8.7549026666666663</v>
      </c>
      <c r="Q34" s="56">
        <f t="shared" si="115"/>
        <v>8.7549026666666663</v>
      </c>
      <c r="R34" s="56">
        <f t="shared" si="115"/>
        <v>8.7549026666666663</v>
      </c>
      <c r="S34" s="56">
        <f t="shared" si="115"/>
        <v>8.7549026666666663</v>
      </c>
      <c r="T34" s="56">
        <f t="shared" si="115"/>
        <v>8.7549026666666663</v>
      </c>
      <c r="U34" s="56">
        <f t="shared" si="115"/>
        <v>8.7549026666666663</v>
      </c>
      <c r="V34" s="56">
        <f t="shared" si="115"/>
        <v>8.7549026666666663</v>
      </c>
      <c r="W34" s="56">
        <f t="shared" si="115"/>
        <v>8.7549026666666663</v>
      </c>
      <c r="X34" s="56">
        <f t="shared" si="115"/>
        <v>8.7549026666666663</v>
      </c>
      <c r="Y34" s="56">
        <f t="shared" si="115"/>
        <v>8.7549026666666663</v>
      </c>
      <c r="Z34" s="56">
        <f t="shared" si="115"/>
        <v>8.7549026666666663</v>
      </c>
      <c r="AA34" s="56">
        <f t="shared" si="115"/>
        <v>8.7549026666666663</v>
      </c>
      <c r="AB34" s="56">
        <f t="shared" si="115"/>
        <v>8.7549026666666663</v>
      </c>
      <c r="AC34" s="56">
        <f>$C$20</f>
        <v>8</v>
      </c>
      <c r="AD34" s="56">
        <f t="shared" si="74"/>
        <v>8</v>
      </c>
      <c r="AE34" s="56">
        <f t="shared" si="74"/>
        <v>8</v>
      </c>
      <c r="AF34" s="56">
        <f t="shared" si="74"/>
        <v>8</v>
      </c>
      <c r="AG34" s="56">
        <f t="shared" si="74"/>
        <v>8</v>
      </c>
      <c r="AH34" s="56">
        <f t="shared" si="74"/>
        <v>8</v>
      </c>
      <c r="AI34" s="56">
        <f t="shared" si="74"/>
        <v>8</v>
      </c>
      <c r="AJ34" s="56">
        <f t="shared" si="74"/>
        <v>8</v>
      </c>
      <c r="AK34" s="56">
        <f t="shared" si="74"/>
        <v>8</v>
      </c>
      <c r="AL34" s="56">
        <f t="shared" si="74"/>
        <v>8</v>
      </c>
      <c r="AM34" s="56">
        <f t="shared" si="74"/>
        <v>8</v>
      </c>
      <c r="AN34" s="56">
        <f t="shared" si="74"/>
        <v>8</v>
      </c>
      <c r="AO34" s="56">
        <f t="shared" si="74"/>
        <v>8</v>
      </c>
      <c r="AP34" s="56">
        <f t="shared" si="74"/>
        <v>8</v>
      </c>
      <c r="AQ34" s="56">
        <f t="shared" si="74"/>
        <v>8</v>
      </c>
      <c r="AR34" s="56">
        <f t="shared" si="74"/>
        <v>8</v>
      </c>
      <c r="AS34" s="56">
        <f t="shared" si="74"/>
        <v>8</v>
      </c>
      <c r="AT34" s="56">
        <f t="shared" si="74"/>
        <v>8</v>
      </c>
      <c r="AU34" s="56">
        <f t="shared" si="74"/>
        <v>8</v>
      </c>
      <c r="AV34" s="56">
        <f t="shared" si="74"/>
        <v>8</v>
      </c>
      <c r="AW34" s="56">
        <f t="shared" si="74"/>
        <v>8</v>
      </c>
      <c r="AX34" s="56">
        <f t="shared" si="74"/>
        <v>8</v>
      </c>
      <c r="AY34" s="56">
        <f t="shared" si="74"/>
        <v>8</v>
      </c>
      <c r="AZ34" s="56">
        <f t="shared" si="74"/>
        <v>8</v>
      </c>
      <c r="BA34" s="56">
        <f t="shared" si="74"/>
        <v>8</v>
      </c>
    </row>
    <row r="35" spans="1:53" hidden="1" outlineLevel="1" x14ac:dyDescent="0.2">
      <c r="B35" s="5" t="s">
        <v>14</v>
      </c>
      <c r="C35" s="10">
        <f>IF(C$17-G$28&lt;=0,G29,IF(C$17-H$28&lt;=0,(G$28*G29+(C$17-G$28)*H29)/C$17,IF(C$17-I$28&lt;=0,(G$28*G29+(H$28-$G28)*H29+(C$17-H$28)*I29)/C$17,IF(C$17-J$28&lt;=0,(G$28*G29+(H$28-G$28)*H29+(I$28-H$28)*I29+(C$17-I$28)*J29)/C$17,IF(C$17-J$28&gt;0,(G$28*G29+(H$28-G$28)*H29+(I$28-H$28)*I29+(J$28-I$28)*J29+(C17-J$28)*K29)/C$17,"Fehler")))))</f>
        <v>1.2833333333333334</v>
      </c>
      <c r="D35" s="3"/>
      <c r="E35" s="17"/>
      <c r="F35" s="22"/>
      <c r="G35" s="17"/>
      <c r="H35" s="17"/>
      <c r="I35" s="17"/>
      <c r="J35" s="17"/>
      <c r="K35" s="17"/>
      <c r="M35" s="239"/>
      <c r="N35" s="55">
        <f t="shared" ref="N35" si="116">$C$15*N34/100</f>
        <v>4377451.333333333</v>
      </c>
      <c r="O35" s="55">
        <f t="shared" ref="O35" si="117">$C$15*O34/100</f>
        <v>4377451.333333333</v>
      </c>
      <c r="P35" s="55">
        <f t="shared" ref="P35" si="118">$C$15*P34/100</f>
        <v>4377451.333333333</v>
      </c>
      <c r="Q35" s="55">
        <f t="shared" ref="Q35" si="119">$C$15*Q34/100</f>
        <v>4377451.333333333</v>
      </c>
      <c r="R35" s="55">
        <f t="shared" ref="R35" si="120">$C$15*R34/100</f>
        <v>4377451.333333333</v>
      </c>
      <c r="S35" s="55">
        <f t="shared" ref="S35" si="121">$C$15*S34/100</f>
        <v>4377451.333333333</v>
      </c>
      <c r="T35" s="55">
        <f t="shared" ref="T35" si="122">$C$15*T34/100</f>
        <v>4377451.333333333</v>
      </c>
      <c r="U35" s="55">
        <f t="shared" ref="U35" si="123">$C$15*U34/100</f>
        <v>4377451.333333333</v>
      </c>
      <c r="V35" s="55">
        <f t="shared" ref="V35" si="124">$C$15*V34/100</f>
        <v>4377451.333333333</v>
      </c>
      <c r="W35" s="55">
        <f t="shared" ref="W35" si="125">$C$15*W34/100</f>
        <v>4377451.333333333</v>
      </c>
      <c r="X35" s="55">
        <f t="shared" ref="X35" si="126">$C$15*X34/100</f>
        <v>4377451.333333333</v>
      </c>
      <c r="Y35" s="55">
        <f t="shared" ref="Y35" si="127">$C$15*Y34/100</f>
        <v>4377451.333333333</v>
      </c>
      <c r="Z35" s="55">
        <f t="shared" ref="Z35" si="128">$C$15*Z34/100</f>
        <v>4377451.333333333</v>
      </c>
      <c r="AA35" s="55">
        <f t="shared" ref="AA35" si="129">$C$15*AA34/100</f>
        <v>4377451.333333333</v>
      </c>
      <c r="AB35" s="55">
        <f t="shared" ref="AB35" si="130">$C$15*AB34/100</f>
        <v>4377451.333333333</v>
      </c>
      <c r="AC35" s="55">
        <f t="shared" ref="AC35" si="131">$C$15*AC34/100</f>
        <v>4000000</v>
      </c>
      <c r="AD35" s="55">
        <f t="shared" ref="AD35" si="132">$C$15*AD34/100</f>
        <v>4000000</v>
      </c>
      <c r="AE35" s="55">
        <f t="shared" ref="AE35" si="133">$C$15*AE34/100</f>
        <v>4000000</v>
      </c>
      <c r="AF35" s="55">
        <f t="shared" ref="AF35" si="134">$C$15*AF34/100</f>
        <v>4000000</v>
      </c>
      <c r="AG35" s="55">
        <f t="shared" ref="AG35" si="135">$C$15*AG34/100</f>
        <v>4000000</v>
      </c>
      <c r="AH35" s="55">
        <f t="shared" ref="AH35" si="136">$C$15*AH34/100</f>
        <v>4000000</v>
      </c>
      <c r="AI35" s="55">
        <f t="shared" ref="AI35" si="137">$C$15*AI34/100</f>
        <v>4000000</v>
      </c>
      <c r="AJ35" s="55">
        <f t="shared" ref="AJ35" si="138">$C$15*AJ34/100</f>
        <v>4000000</v>
      </c>
      <c r="AK35" s="55">
        <f t="shared" ref="AK35" si="139">$C$15*AK34/100</f>
        <v>4000000</v>
      </c>
      <c r="AL35" s="55">
        <f t="shared" ref="AL35" si="140">$C$15*AL34/100</f>
        <v>4000000</v>
      </c>
      <c r="AM35" s="55">
        <f t="shared" ref="AM35" si="141">$C$15*AM34/100</f>
        <v>4000000</v>
      </c>
      <c r="AN35" s="55">
        <f t="shared" ref="AN35" si="142">$C$15*AN34/100</f>
        <v>4000000</v>
      </c>
      <c r="AO35" s="55">
        <f t="shared" ref="AO35" si="143">$C$15*AO34/100</f>
        <v>4000000</v>
      </c>
      <c r="AP35" s="55">
        <f t="shared" ref="AP35" si="144">$C$15*AP34/100</f>
        <v>4000000</v>
      </c>
      <c r="AQ35" s="55">
        <f t="shared" ref="AQ35" si="145">$C$15*AQ34/100</f>
        <v>4000000</v>
      </c>
      <c r="AR35" s="55">
        <f t="shared" ref="AR35" si="146">$C$15*AR34/100</f>
        <v>4000000</v>
      </c>
      <c r="AS35" s="55">
        <f t="shared" ref="AS35" si="147">$C$15*AS34/100</f>
        <v>4000000</v>
      </c>
      <c r="AT35" s="55">
        <f t="shared" ref="AT35" si="148">$C$15*AT34/100</f>
        <v>4000000</v>
      </c>
      <c r="AU35" s="55">
        <f t="shared" ref="AU35" si="149">$C$15*AU34/100</f>
        <v>4000000</v>
      </c>
      <c r="AV35" s="55">
        <f t="shared" ref="AV35" si="150">$C$15*AV34/100</f>
        <v>4000000</v>
      </c>
      <c r="AW35" s="55">
        <f t="shared" ref="AW35" si="151">$C$15*AW34/100</f>
        <v>4000000</v>
      </c>
      <c r="AX35" s="55">
        <f t="shared" ref="AX35" si="152">$C$15*AX34/100</f>
        <v>4000000</v>
      </c>
      <c r="AY35" s="55">
        <f t="shared" ref="AY35" si="153">$C$15*AY34/100</f>
        <v>4000000</v>
      </c>
      <c r="AZ35" s="55">
        <f t="shared" ref="AZ35" si="154">$C$15*AZ34/100</f>
        <v>4000000</v>
      </c>
      <c r="BA35" s="55">
        <f t="shared" ref="BA35" si="155">$C$15*BA34/100</f>
        <v>4000000</v>
      </c>
    </row>
    <row r="36" spans="1:53" hidden="1" outlineLevel="1" x14ac:dyDescent="0.2">
      <c r="A36" s="8"/>
      <c r="B36" s="8"/>
      <c r="C36" s="11"/>
      <c r="D36" s="3"/>
      <c r="E36" s="22"/>
      <c r="F36" s="17"/>
      <c r="G36" s="17"/>
      <c r="H36" s="17"/>
      <c r="I36" s="17"/>
      <c r="J36" s="17"/>
      <c r="K36" s="17"/>
    </row>
    <row r="37" spans="1:53" collapsed="1" x14ac:dyDescent="0.2">
      <c r="E37" s="17"/>
      <c r="F37" s="17"/>
      <c r="G37" s="17"/>
      <c r="H37" s="17"/>
      <c r="I37" s="17"/>
      <c r="J37" s="17"/>
      <c r="K37" s="17"/>
    </row>
    <row r="38" spans="1:53" x14ac:dyDescent="0.2">
      <c r="E38" s="17"/>
      <c r="F38" s="17"/>
      <c r="G38" s="17"/>
      <c r="H38" s="17"/>
      <c r="I38" s="17"/>
      <c r="J38" s="17"/>
      <c r="K38" s="17"/>
    </row>
    <row r="39" spans="1:53" ht="15.75" x14ac:dyDescent="0.25">
      <c r="A39" s="207" t="s">
        <v>77</v>
      </c>
      <c r="B39" s="208"/>
      <c r="C39" s="208"/>
      <c r="D39" s="208"/>
      <c r="E39" s="209"/>
      <c r="F39" s="17"/>
      <c r="G39" s="17"/>
      <c r="H39" s="17"/>
      <c r="I39" s="17"/>
      <c r="J39" s="17"/>
      <c r="K39" s="17"/>
    </row>
    <row r="40" spans="1:53" x14ac:dyDescent="0.2">
      <c r="A40" s="210"/>
      <c r="B40" s="211"/>
      <c r="C40" s="211"/>
      <c r="D40" s="211"/>
      <c r="E40" s="212"/>
      <c r="F40" s="17"/>
      <c r="G40" s="17"/>
      <c r="H40" s="17"/>
      <c r="I40" s="17"/>
      <c r="J40" s="17"/>
      <c r="K40" s="17"/>
    </row>
    <row r="41" spans="1:53" x14ac:dyDescent="0.2">
      <c r="A41" s="210" t="s">
        <v>28</v>
      </c>
      <c r="B41" s="211"/>
      <c r="C41" s="213">
        <f>'ES2050'!C$29</f>
        <v>7.3202471999999998</v>
      </c>
      <c r="D41" s="214" t="s">
        <v>31</v>
      </c>
      <c r="E41" s="212"/>
      <c r="F41" s="17"/>
      <c r="G41" s="17"/>
      <c r="H41" s="17"/>
      <c r="I41" s="17"/>
      <c r="J41" s="17"/>
      <c r="K41" s="17"/>
    </row>
    <row r="42" spans="1:53" x14ac:dyDescent="0.2">
      <c r="A42" s="210" t="s">
        <v>29</v>
      </c>
      <c r="B42" s="211"/>
      <c r="C42" s="213">
        <f>'ES2050'!C$30</f>
        <v>1.425</v>
      </c>
      <c r="D42" s="211" t="s">
        <v>31</v>
      </c>
      <c r="E42" s="212"/>
      <c r="F42" s="17"/>
      <c r="G42" s="17"/>
      <c r="H42" s="17"/>
      <c r="I42" s="17"/>
      <c r="J42" s="17"/>
      <c r="K42" s="17"/>
    </row>
    <row r="43" spans="1:53" x14ac:dyDescent="0.2">
      <c r="A43" s="215" t="s">
        <v>30</v>
      </c>
      <c r="B43" s="216"/>
      <c r="C43" s="217">
        <f>'ES2050'!C$31</f>
        <v>0.3340817777777777</v>
      </c>
      <c r="D43" s="211" t="s">
        <v>31</v>
      </c>
      <c r="E43" s="212"/>
      <c r="F43" s="17"/>
      <c r="G43" s="17"/>
      <c r="H43" s="17"/>
      <c r="I43" s="17"/>
      <c r="J43" s="17"/>
      <c r="K43" s="17"/>
    </row>
    <row r="44" spans="1:53" ht="16.5" thickBot="1" x14ac:dyDescent="0.25">
      <c r="A44" s="218" t="s">
        <v>92</v>
      </c>
      <c r="B44" s="219"/>
      <c r="C44" s="220">
        <f>MIN(SUM(C41:C43),32.4)</f>
        <v>9.0793289777777773</v>
      </c>
      <c r="D44" s="219" t="s">
        <v>31</v>
      </c>
      <c r="E44" s="221"/>
      <c r="F44" s="17"/>
      <c r="G44" s="17"/>
      <c r="H44" s="17"/>
      <c r="I44" s="17"/>
      <c r="J44" s="17"/>
      <c r="K44" s="17"/>
    </row>
    <row r="45" spans="1:53" ht="13.5" thickTop="1" x14ac:dyDescent="0.2">
      <c r="A45" s="222" t="s">
        <v>60</v>
      </c>
      <c r="B45" s="223"/>
      <c r="C45" s="224">
        <f>100*(NPV(C$21,N31:BA31))/(C$15*C$22)</f>
        <v>4.2769291806611545</v>
      </c>
      <c r="D45" s="225" t="s">
        <v>31</v>
      </c>
      <c r="E45" s="221"/>
      <c r="F45" s="17"/>
      <c r="G45" s="17"/>
      <c r="H45" s="17"/>
      <c r="I45" s="17"/>
      <c r="J45" s="17"/>
      <c r="K45" s="17"/>
    </row>
    <row r="46" spans="1:53" x14ac:dyDescent="0.2">
      <c r="A46" s="210"/>
      <c r="B46" s="211"/>
      <c r="C46" s="211"/>
      <c r="D46" s="211"/>
      <c r="E46" s="212"/>
      <c r="F46" s="17"/>
      <c r="G46" s="17"/>
      <c r="H46" s="17"/>
      <c r="I46" s="17"/>
      <c r="J46" s="17"/>
      <c r="K46" s="17"/>
    </row>
    <row r="47" spans="1:53" x14ac:dyDescent="0.2">
      <c r="A47" s="226" t="s">
        <v>85</v>
      </c>
      <c r="B47" s="211"/>
      <c r="C47" s="211"/>
      <c r="D47" s="211"/>
      <c r="E47" s="212"/>
      <c r="F47" s="17"/>
      <c r="G47" s="17"/>
      <c r="H47" s="17"/>
      <c r="I47" s="17"/>
      <c r="J47" s="17"/>
      <c r="K47" s="17"/>
    </row>
    <row r="48" spans="1:53" x14ac:dyDescent="0.2">
      <c r="A48" s="210" t="s">
        <v>28</v>
      </c>
      <c r="B48" s="211"/>
      <c r="C48" s="213">
        <f>'ES2050'!C$29</f>
        <v>7.3202471999999998</v>
      </c>
      <c r="D48" s="214" t="s">
        <v>31</v>
      </c>
      <c r="E48" s="212"/>
      <c r="F48" s="17"/>
      <c r="G48" s="17"/>
      <c r="H48" s="17"/>
      <c r="I48" s="17"/>
      <c r="J48" s="17"/>
      <c r="K48" s="17"/>
    </row>
    <row r="49" spans="1:11" x14ac:dyDescent="0.2">
      <c r="A49" s="210" t="s">
        <v>29</v>
      </c>
      <c r="B49" s="211"/>
      <c r="C49" s="213">
        <f>'ES2050'!C$30</f>
        <v>1.425</v>
      </c>
      <c r="D49" s="211" t="s">
        <v>31</v>
      </c>
      <c r="E49" s="212"/>
      <c r="F49" s="17"/>
      <c r="G49" s="17"/>
      <c r="H49" s="17"/>
      <c r="I49" s="17"/>
      <c r="J49" s="17"/>
      <c r="K49" s="17"/>
    </row>
    <row r="50" spans="1:11" ht="16.5" thickBot="1" x14ac:dyDescent="0.25">
      <c r="A50" s="218" t="s">
        <v>92</v>
      </c>
      <c r="B50" s="219"/>
      <c r="C50" s="220">
        <f>MIN(SUM(C48:C49),32.4)</f>
        <v>8.7452471999999997</v>
      </c>
      <c r="D50" s="219" t="s">
        <v>31</v>
      </c>
      <c r="E50" s="221"/>
      <c r="F50" s="17"/>
      <c r="G50" s="17"/>
      <c r="H50" s="17"/>
      <c r="I50" s="17"/>
      <c r="J50" s="17"/>
      <c r="K50" s="17"/>
    </row>
    <row r="51" spans="1:11" ht="13.5" thickTop="1" x14ac:dyDescent="0.2">
      <c r="A51" s="222" t="s">
        <v>60</v>
      </c>
      <c r="B51" s="223"/>
      <c r="C51" s="224">
        <f>100*(NPV(C$21,N33:BA33))/(C$15*C$22)</f>
        <v>4.1838728142990229</v>
      </c>
      <c r="D51" s="225" t="s">
        <v>31</v>
      </c>
      <c r="E51" s="221"/>
      <c r="F51" s="17"/>
      <c r="G51" s="17"/>
      <c r="H51" s="17"/>
      <c r="I51" s="17"/>
      <c r="J51" s="17"/>
      <c r="K51" s="17"/>
    </row>
    <row r="52" spans="1:11" x14ac:dyDescent="0.2">
      <c r="A52" s="210"/>
      <c r="B52" s="211"/>
      <c r="C52" s="211"/>
      <c r="D52" s="211"/>
      <c r="E52" s="212"/>
      <c r="F52" s="17"/>
      <c r="G52" s="17"/>
      <c r="H52" s="17"/>
      <c r="I52" s="17"/>
      <c r="J52" s="17"/>
      <c r="K52" s="17"/>
    </row>
    <row r="53" spans="1:11" x14ac:dyDescent="0.2">
      <c r="A53" s="226" t="s">
        <v>86</v>
      </c>
      <c r="B53" s="211"/>
      <c r="C53" s="211"/>
      <c r="D53" s="211"/>
      <c r="E53" s="212"/>
      <c r="F53" s="17"/>
      <c r="G53" s="17"/>
      <c r="H53" s="17"/>
      <c r="I53" s="17"/>
      <c r="J53" s="17"/>
      <c r="K53" s="17"/>
    </row>
    <row r="54" spans="1:11" x14ac:dyDescent="0.2">
      <c r="A54" s="210" t="s">
        <v>28</v>
      </c>
      <c r="B54" s="211"/>
      <c r="C54" s="213">
        <f>'ES2050'!C$29</f>
        <v>7.3202471999999998</v>
      </c>
      <c r="D54" s="214" t="s">
        <v>31</v>
      </c>
      <c r="E54" s="212"/>
      <c r="F54" s="17"/>
      <c r="G54" s="17"/>
      <c r="H54" s="17"/>
      <c r="I54" s="17"/>
      <c r="J54" s="17"/>
      <c r="K54" s="17"/>
    </row>
    <row r="55" spans="1:11" x14ac:dyDescent="0.2">
      <c r="A55" s="210" t="s">
        <v>29</v>
      </c>
      <c r="B55" s="211"/>
      <c r="C55" s="213">
        <f>'ES2050'!C$30</f>
        <v>1.425</v>
      </c>
      <c r="D55" s="211" t="s">
        <v>31</v>
      </c>
      <c r="E55" s="212"/>
      <c r="F55" s="17"/>
      <c r="G55" s="17"/>
      <c r="H55" s="17"/>
      <c r="I55" s="17"/>
      <c r="J55" s="17"/>
      <c r="K55" s="17"/>
    </row>
    <row r="56" spans="1:11" x14ac:dyDescent="0.2">
      <c r="A56" s="215" t="s">
        <v>30</v>
      </c>
      <c r="B56" s="216"/>
      <c r="C56" s="217">
        <f>'ES2050 NN'!C31</f>
        <v>9.6554666666666643E-3</v>
      </c>
      <c r="D56" s="211" t="s">
        <v>31</v>
      </c>
      <c r="E56" s="212"/>
      <c r="F56" s="17"/>
      <c r="G56" s="17"/>
      <c r="H56" s="17"/>
      <c r="I56" s="17"/>
      <c r="J56" s="17"/>
      <c r="K56" s="17"/>
    </row>
    <row r="57" spans="1:11" ht="16.5" thickBot="1" x14ac:dyDescent="0.25">
      <c r="A57" s="218" t="s">
        <v>92</v>
      </c>
      <c r="B57" s="219"/>
      <c r="C57" s="220">
        <f>MIN(SUM(C54:C56),32.4)</f>
        <v>8.7549026666666663</v>
      </c>
      <c r="D57" s="219" t="s">
        <v>31</v>
      </c>
      <c r="E57" s="221"/>
      <c r="F57" s="17"/>
      <c r="G57" s="17"/>
      <c r="H57" s="17"/>
      <c r="I57" s="17"/>
      <c r="J57" s="17"/>
      <c r="K57" s="17"/>
    </row>
    <row r="58" spans="1:11" ht="13.5" thickTop="1" x14ac:dyDescent="0.2">
      <c r="A58" s="222" t="s">
        <v>60</v>
      </c>
      <c r="B58" s="223"/>
      <c r="C58" s="224">
        <f>100*(NPV(C$21,N35:BA35))/(C$15*C$22)</f>
        <v>4.1865622834748271</v>
      </c>
      <c r="D58" s="225" t="s">
        <v>31</v>
      </c>
      <c r="E58" s="221"/>
      <c r="F58" s="17"/>
      <c r="G58" s="17"/>
      <c r="H58" s="17"/>
      <c r="I58" s="17"/>
      <c r="J58" s="17"/>
      <c r="K58" s="17"/>
    </row>
    <row r="59" spans="1:11" x14ac:dyDescent="0.2">
      <c r="A59" s="227"/>
      <c r="B59" s="216"/>
      <c r="C59" s="216"/>
      <c r="D59" s="216"/>
      <c r="E59" s="228"/>
      <c r="F59" s="17"/>
      <c r="G59" s="17"/>
      <c r="H59" s="17"/>
      <c r="I59" s="17"/>
      <c r="J59" s="17"/>
      <c r="K59" s="17"/>
    </row>
    <row r="60" spans="1:11" x14ac:dyDescent="0.2">
      <c r="E60" s="17"/>
      <c r="F60" s="17"/>
      <c r="G60" s="17"/>
      <c r="H60" s="17"/>
      <c r="I60" s="17"/>
      <c r="J60" s="17"/>
      <c r="K60" s="17"/>
    </row>
    <row r="61" spans="1:11" ht="15.75" x14ac:dyDescent="0.25">
      <c r="A61" s="190" t="s">
        <v>81</v>
      </c>
      <c r="B61" s="191"/>
      <c r="C61" s="191"/>
      <c r="D61" s="191"/>
      <c r="E61" s="192"/>
      <c r="F61" s="17"/>
      <c r="G61" s="17"/>
      <c r="H61" s="17"/>
      <c r="I61" s="17"/>
      <c r="J61" s="17"/>
      <c r="K61" s="17"/>
    </row>
    <row r="62" spans="1:11" x14ac:dyDescent="0.2">
      <c r="A62" s="67"/>
      <c r="B62" s="68"/>
      <c r="C62" s="68"/>
      <c r="D62" s="68"/>
      <c r="E62" s="101"/>
      <c r="F62" s="17"/>
      <c r="G62" s="17"/>
      <c r="H62" s="17"/>
      <c r="I62" s="17"/>
      <c r="J62" s="17"/>
      <c r="K62" s="17"/>
    </row>
    <row r="63" spans="1:11" ht="16.5" customHeight="1" x14ac:dyDescent="0.25">
      <c r="A63" s="202" t="s">
        <v>69</v>
      </c>
      <c r="B63" s="143"/>
      <c r="C63" s="143"/>
      <c r="D63" s="143"/>
      <c r="E63" s="144"/>
      <c r="F63" s="17"/>
      <c r="G63" s="17"/>
      <c r="H63" s="17"/>
      <c r="I63" s="17"/>
      <c r="J63" s="17"/>
      <c r="K63" s="17"/>
    </row>
    <row r="64" spans="1:11" ht="21" customHeight="1" x14ac:dyDescent="0.2">
      <c r="A64" s="146" t="s">
        <v>73</v>
      </c>
      <c r="B64" s="143"/>
      <c r="C64" s="143"/>
      <c r="D64" s="143"/>
      <c r="E64" s="144"/>
      <c r="F64" s="17"/>
      <c r="G64" s="17"/>
      <c r="H64" s="17"/>
      <c r="I64" s="17"/>
      <c r="J64" s="17"/>
      <c r="K64" s="17"/>
    </row>
    <row r="65" spans="1:53" ht="16.5" customHeight="1" x14ac:dyDescent="0.2">
      <c r="A65" s="67" t="s">
        <v>28</v>
      </c>
      <c r="B65" s="68"/>
      <c r="C65" s="69">
        <f>'KEV - KWK Kat 1 bis 2014 - 16'!C29</f>
        <v>7.8741120000000002</v>
      </c>
      <c r="D65" s="70" t="s">
        <v>31</v>
      </c>
      <c r="E65" s="101"/>
      <c r="F65" s="17"/>
      <c r="G65" s="17"/>
      <c r="H65" s="145"/>
      <c r="I65" s="17"/>
      <c r="J65" s="17"/>
      <c r="K65" s="17"/>
    </row>
    <row r="66" spans="1:53" ht="16.5" customHeight="1" x14ac:dyDescent="0.2">
      <c r="A66" s="67" t="s">
        <v>29</v>
      </c>
      <c r="B66" s="68"/>
      <c r="C66" s="69">
        <f>'KEV - KWK Kat 1 bis 2014 - 16'!C30</f>
        <v>1.425</v>
      </c>
      <c r="D66" s="68" t="s">
        <v>31</v>
      </c>
      <c r="E66" s="101"/>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row>
    <row r="67" spans="1:53" s="49" customFormat="1" ht="16.5" customHeight="1" x14ac:dyDescent="0.2">
      <c r="A67" s="72" t="s">
        <v>30</v>
      </c>
      <c r="B67" s="73"/>
      <c r="C67" s="74">
        <f>'KEV - KWK Kat 1 bis 2014 - 16'!C31</f>
        <v>0.63156622222222203</v>
      </c>
      <c r="D67" s="68" t="s">
        <v>31</v>
      </c>
      <c r="E67" s="101"/>
    </row>
    <row r="68" spans="1:53" s="49" customFormat="1" ht="19.5" customHeight="1" thickBot="1" x14ac:dyDescent="0.25">
      <c r="A68" s="75" t="s">
        <v>52</v>
      </c>
      <c r="B68" s="76"/>
      <c r="C68" s="77">
        <f>SUM(C65:C67)</f>
        <v>9.9306782222222232</v>
      </c>
      <c r="D68" s="76" t="s">
        <v>31</v>
      </c>
      <c r="E68" s="230"/>
    </row>
    <row r="69" spans="1:53" s="49" customFormat="1" ht="16.5" customHeight="1" thickTop="1" x14ac:dyDescent="0.2">
      <c r="A69" s="193" t="s">
        <v>60</v>
      </c>
      <c r="B69" s="78"/>
      <c r="C69" s="194">
        <f>100*(NPV(C$21,N13:BA13))/(C$15*C$22)</f>
        <v>4.6339986023541142</v>
      </c>
      <c r="D69" s="79" t="s">
        <v>31</v>
      </c>
      <c r="E69" s="230">
        <f>(C69-C$45)/C$45</f>
        <v>8.348733556485069E-2</v>
      </c>
    </row>
    <row r="70" spans="1:53" s="49" customFormat="1" ht="16.5" customHeight="1" x14ac:dyDescent="0.2">
      <c r="A70" s="67"/>
      <c r="B70" s="68"/>
      <c r="C70" s="68"/>
      <c r="D70" s="68"/>
      <c r="E70" s="101"/>
    </row>
    <row r="71" spans="1:53" s="49" customFormat="1" ht="16.5" customHeight="1" x14ac:dyDescent="0.25">
      <c r="A71" s="202" t="s">
        <v>64</v>
      </c>
      <c r="B71" s="143"/>
      <c r="C71" s="143"/>
      <c r="D71" s="143"/>
      <c r="E71" s="144"/>
    </row>
    <row r="72" spans="1:53" s="49" customFormat="1" ht="16.5" customHeight="1" x14ac:dyDescent="0.2">
      <c r="A72" s="67" t="s">
        <v>28</v>
      </c>
      <c r="B72" s="68"/>
      <c r="C72" s="69">
        <f>'KEV - KWK Kat 1 ab 2017'!C29</f>
        <v>7.2657599999999993</v>
      </c>
      <c r="D72" s="70" t="s">
        <v>31</v>
      </c>
      <c r="E72" s="71"/>
      <c r="H72" s="206"/>
    </row>
    <row r="73" spans="1:53" ht="16.5" customHeight="1" x14ac:dyDescent="0.2">
      <c r="A73" s="67" t="s">
        <v>29</v>
      </c>
      <c r="B73" s="68"/>
      <c r="C73" s="69">
        <f>'KEV - KWK Kat 1 ab 2017'!C30</f>
        <v>1.425</v>
      </c>
      <c r="D73" s="68" t="s">
        <v>31</v>
      </c>
      <c r="E73" s="71"/>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row>
    <row r="74" spans="1:53" s="49" customFormat="1" ht="16.5" customHeight="1" x14ac:dyDescent="0.2">
      <c r="A74" s="72" t="s">
        <v>30</v>
      </c>
      <c r="B74" s="73"/>
      <c r="C74" s="69">
        <f>'KEV - KWK Kat 1 ab 2017'!C31</f>
        <v>0.33096711111111099</v>
      </c>
      <c r="D74" s="68" t="s">
        <v>31</v>
      </c>
      <c r="E74" s="71"/>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row>
    <row r="75" spans="1:53" ht="18.75" customHeight="1" thickBot="1" x14ac:dyDescent="0.25">
      <c r="A75" s="75" t="s">
        <v>52</v>
      </c>
      <c r="B75" s="76"/>
      <c r="C75" s="77">
        <f>SUM(C72:C74)</f>
        <v>9.0217271111111099</v>
      </c>
      <c r="D75" s="76" t="s">
        <v>31</v>
      </c>
      <c r="E75" s="230"/>
    </row>
    <row r="76" spans="1:53" ht="16.5" customHeight="1" thickTop="1" x14ac:dyDescent="0.2">
      <c r="A76" s="80" t="s">
        <v>60</v>
      </c>
      <c r="B76" s="81"/>
      <c r="C76" s="82">
        <f>100*NPV(C$21,N15:BA15)/(C$15*C$22)</f>
        <v>4.3243530385518456</v>
      </c>
      <c r="D76" s="83" t="s">
        <v>31</v>
      </c>
      <c r="E76" s="232">
        <f>(C76-C$45)/C$45</f>
        <v>1.1088296272270768E-2</v>
      </c>
      <c r="F76" s="59"/>
    </row>
    <row r="77" spans="1:53" x14ac:dyDescent="0.2">
      <c r="E77" s="18"/>
      <c r="F77" s="59"/>
    </row>
    <row r="78" spans="1:53" ht="15.75" x14ac:dyDescent="0.25">
      <c r="A78" s="182" t="s">
        <v>82</v>
      </c>
      <c r="B78" s="183"/>
      <c r="C78" s="183"/>
      <c r="D78" s="183"/>
      <c r="E78" s="184"/>
      <c r="F78" s="17"/>
      <c r="G78" s="17"/>
      <c r="H78" s="17"/>
      <c r="I78" s="17"/>
      <c r="J78" s="17"/>
      <c r="K78" s="17"/>
    </row>
    <row r="79" spans="1:53" x14ac:dyDescent="0.2">
      <c r="A79" s="84"/>
      <c r="B79" s="85"/>
      <c r="C79" s="85"/>
      <c r="D79" s="85"/>
      <c r="E79" s="88"/>
      <c r="F79" s="59"/>
    </row>
    <row r="80" spans="1:53" ht="16.5" customHeight="1" x14ac:dyDescent="0.25">
      <c r="A80" s="205" t="s">
        <v>71</v>
      </c>
      <c r="B80" s="147"/>
      <c r="C80" s="147"/>
      <c r="D80" s="147"/>
      <c r="E80" s="148"/>
      <c r="F80" s="59"/>
      <c r="G80" s="17"/>
      <c r="H80" s="17"/>
      <c r="I80" s="17"/>
      <c r="J80" s="17"/>
      <c r="K80" s="17"/>
    </row>
    <row r="81" spans="1:53" ht="21" customHeight="1" x14ac:dyDescent="0.2">
      <c r="A81" s="150" t="s">
        <v>72</v>
      </c>
      <c r="B81" s="147"/>
      <c r="C81" s="147"/>
      <c r="D81" s="147"/>
      <c r="E81" s="151"/>
      <c r="F81" s="59"/>
      <c r="G81" s="17"/>
      <c r="H81" s="17"/>
      <c r="I81" s="17"/>
      <c r="J81" s="17"/>
      <c r="K81" s="17"/>
    </row>
    <row r="82" spans="1:53" ht="16.5" customHeight="1" x14ac:dyDescent="0.2">
      <c r="A82" s="84" t="s">
        <v>28</v>
      </c>
      <c r="B82" s="85"/>
      <c r="C82" s="86">
        <f>'KEV - KWK Kat 2 2014 - 15'!C$30</f>
        <v>7.8772656000000003</v>
      </c>
      <c r="D82" s="87" t="s">
        <v>31</v>
      </c>
      <c r="E82" s="88"/>
      <c r="F82" s="17"/>
      <c r="G82" s="17"/>
      <c r="H82" s="17"/>
      <c r="I82" s="17"/>
      <c r="J82" s="17"/>
      <c r="K82" s="17"/>
    </row>
    <row r="83" spans="1:53" ht="16.5" customHeight="1" x14ac:dyDescent="0.2">
      <c r="A83" s="84" t="s">
        <v>29</v>
      </c>
      <c r="B83" s="85"/>
      <c r="C83" s="86">
        <f>'KEV - KWK Kat 2 2014 - 15'!C$31</f>
        <v>1.425</v>
      </c>
      <c r="D83" s="85" t="s">
        <v>31</v>
      </c>
      <c r="E83" s="88"/>
      <c r="F83" s="17"/>
      <c r="G83" s="17"/>
      <c r="H83" s="17"/>
      <c r="I83" s="17"/>
      <c r="J83" s="17"/>
      <c r="K83" s="17"/>
    </row>
    <row r="84" spans="1:53" ht="16.5" customHeight="1" x14ac:dyDescent="0.2">
      <c r="A84" s="89" t="s">
        <v>30</v>
      </c>
      <c r="B84" s="90"/>
      <c r="C84" s="91">
        <f>'KEV - KWK Kat 2 2014 - 15'!C$32</f>
        <v>0.63203342222222203</v>
      </c>
      <c r="D84" s="85" t="s">
        <v>31</v>
      </c>
      <c r="E84" s="88"/>
      <c r="F84" s="17"/>
      <c r="G84" s="17"/>
      <c r="H84" s="17"/>
      <c r="I84" s="17"/>
      <c r="J84" s="17"/>
      <c r="K84" s="17"/>
    </row>
    <row r="85" spans="1:53" ht="18.75" customHeight="1" thickBot="1" x14ac:dyDescent="0.25">
      <c r="A85" s="92" t="s">
        <v>52</v>
      </c>
      <c r="B85" s="93"/>
      <c r="C85" s="94">
        <f>SUM(C82:C84)</f>
        <v>9.9342990222222216</v>
      </c>
      <c r="D85" s="93" t="s">
        <v>31</v>
      </c>
      <c r="E85" s="229"/>
      <c r="F85" s="17"/>
      <c r="G85" s="17"/>
      <c r="H85" s="17"/>
      <c r="I85" s="17"/>
      <c r="J85" s="17"/>
      <c r="K85" s="17"/>
    </row>
    <row r="86" spans="1:53" s="49" customFormat="1" ht="16.5" customHeight="1" thickTop="1" x14ac:dyDescent="0.2">
      <c r="A86" s="188" t="s">
        <v>60</v>
      </c>
      <c r="B86" s="95"/>
      <c r="C86" s="189">
        <f>100*NPV(C$21,N17:BA17)/(C$15*C$22)</f>
        <v>4.6352320731576704</v>
      </c>
      <c r="D86" s="96" t="s">
        <v>31</v>
      </c>
      <c r="E86" s="229">
        <f>(C86-C$58)/C$58</f>
        <v>0.10716902300816829</v>
      </c>
      <c r="F86" s="17"/>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row>
    <row r="87" spans="1:53" ht="16.5" customHeight="1" x14ac:dyDescent="0.2">
      <c r="A87" s="84"/>
      <c r="B87" s="85"/>
      <c r="C87" s="85"/>
      <c r="D87" s="85"/>
      <c r="E87" s="185"/>
      <c r="F87" s="17"/>
    </row>
    <row r="88" spans="1:53" ht="16.5" customHeight="1" x14ac:dyDescent="0.25">
      <c r="A88" s="205" t="s">
        <v>74</v>
      </c>
      <c r="B88" s="147"/>
      <c r="C88" s="147"/>
      <c r="D88" s="147"/>
      <c r="E88" s="148"/>
      <c r="F88" s="59"/>
      <c r="G88" s="17"/>
      <c r="H88" s="17"/>
      <c r="I88" s="17"/>
      <c r="J88" s="17"/>
      <c r="K88" s="17"/>
    </row>
    <row r="89" spans="1:53" ht="16.5" customHeight="1" x14ac:dyDescent="0.2">
      <c r="A89" s="84" t="s">
        <v>28</v>
      </c>
      <c r="B89" s="85"/>
      <c r="C89" s="86">
        <f>'KEV - KWK Kat 2 2014 - 15'!C$30</f>
        <v>7.8772656000000003</v>
      </c>
      <c r="D89" s="87" t="s">
        <v>31</v>
      </c>
      <c r="E89" s="88"/>
      <c r="F89" s="17"/>
      <c r="G89" s="17"/>
      <c r="H89" s="17"/>
      <c r="I89" s="17"/>
      <c r="J89" s="17"/>
      <c r="K89" s="17"/>
    </row>
    <row r="90" spans="1:53" ht="16.5" customHeight="1" x14ac:dyDescent="0.2">
      <c r="A90" s="84" t="s">
        <v>29</v>
      </c>
      <c r="B90" s="85"/>
      <c r="C90" s="86">
        <f>'KEV - KWK Kat 2 2014 - 15'!C$31</f>
        <v>1.425</v>
      </c>
      <c r="D90" s="85" t="s">
        <v>31</v>
      </c>
      <c r="E90" s="88"/>
      <c r="F90" s="17"/>
      <c r="G90" s="17"/>
      <c r="H90" s="17"/>
      <c r="I90" s="17"/>
      <c r="J90" s="17"/>
      <c r="K90" s="17"/>
    </row>
    <row r="91" spans="1:53" ht="16.5" customHeight="1" x14ac:dyDescent="0.2">
      <c r="A91" s="89" t="s">
        <v>30</v>
      </c>
      <c r="B91" s="90"/>
      <c r="C91" s="91">
        <f>'KEV - KWK Kat 2 2016'!C$32</f>
        <v>9.4218666666666655E-3</v>
      </c>
      <c r="D91" s="85" t="s">
        <v>31</v>
      </c>
      <c r="E91" s="88"/>
      <c r="F91" s="17"/>
      <c r="G91" s="17"/>
      <c r="H91" s="17"/>
      <c r="I91" s="17"/>
      <c r="J91" s="17"/>
      <c r="K91" s="17"/>
    </row>
    <row r="92" spans="1:53" ht="18.75" customHeight="1" thickBot="1" x14ac:dyDescent="0.25">
      <c r="A92" s="92" t="s">
        <v>52</v>
      </c>
      <c r="B92" s="93"/>
      <c r="C92" s="94">
        <f>SUM(C89:C91)</f>
        <v>9.3116874666666671</v>
      </c>
      <c r="D92" s="93" t="s">
        <v>31</v>
      </c>
      <c r="E92" s="229"/>
      <c r="F92" s="17"/>
      <c r="G92" s="17"/>
      <c r="H92" s="17"/>
      <c r="I92" s="17"/>
      <c r="J92" s="17"/>
      <c r="K92" s="17"/>
    </row>
    <row r="93" spans="1:53" s="49" customFormat="1" ht="16.5" customHeight="1" thickTop="1" x14ac:dyDescent="0.2">
      <c r="A93" s="188" t="s">
        <v>60</v>
      </c>
      <c r="B93" s="95"/>
      <c r="C93" s="189">
        <f>100*NPV(C$21,N19:BA19)/(C$15*C$22)</f>
        <v>4.4231316600626895</v>
      </c>
      <c r="D93" s="96" t="s">
        <v>31</v>
      </c>
      <c r="E93" s="229">
        <f>(C93-C$58)/C$58</f>
        <v>5.6506833189045744E-2</v>
      </c>
      <c r="F93" s="17"/>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row>
    <row r="94" spans="1:53" ht="16.5" customHeight="1" x14ac:dyDescent="0.2">
      <c r="A94" s="84"/>
      <c r="B94" s="85"/>
      <c r="C94" s="85"/>
      <c r="D94" s="85"/>
      <c r="E94" s="185"/>
      <c r="F94" s="17"/>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row>
    <row r="95" spans="1:53" ht="16.5" customHeight="1" x14ac:dyDescent="0.25">
      <c r="A95" s="205" t="s">
        <v>64</v>
      </c>
      <c r="B95" s="147"/>
      <c r="C95" s="147"/>
      <c r="D95" s="147"/>
      <c r="E95" s="148"/>
      <c r="F95" s="17"/>
    </row>
    <row r="96" spans="1:53" ht="16.5" customHeight="1" x14ac:dyDescent="0.2">
      <c r="A96" s="84" t="s">
        <v>28</v>
      </c>
      <c r="B96" s="85"/>
      <c r="C96" s="86">
        <f>'KEV - KWK Kat 2 NN ab 2017'!C$30</f>
        <v>7.2662855999999998</v>
      </c>
      <c r="D96" s="87" t="s">
        <v>31</v>
      </c>
      <c r="E96" s="88"/>
      <c r="F96" s="17"/>
      <c r="G96" s="17"/>
      <c r="H96" s="17"/>
      <c r="I96" s="17"/>
      <c r="J96" s="17"/>
      <c r="K96" s="17"/>
    </row>
    <row r="97" spans="1:53" ht="16.5" customHeight="1" x14ac:dyDescent="0.2">
      <c r="A97" s="84" t="s">
        <v>29</v>
      </c>
      <c r="B97" s="85"/>
      <c r="C97" s="86">
        <f>'KEV - KWK Kat 2 NN ab 2017'!C$31</f>
        <v>1.425</v>
      </c>
      <c r="D97" s="85" t="s">
        <v>31</v>
      </c>
      <c r="E97" s="88"/>
      <c r="F97" s="51"/>
      <c r="G97" s="17"/>
      <c r="H97" s="17"/>
      <c r="I97" s="17"/>
      <c r="J97" s="17"/>
      <c r="K97" s="17"/>
    </row>
    <row r="98" spans="1:53" ht="16.5" customHeight="1" x14ac:dyDescent="0.2">
      <c r="A98" s="89" t="s">
        <v>30</v>
      </c>
      <c r="B98" s="90"/>
      <c r="C98" s="86">
        <f>'KEV - KWK Kat 2 NN ab 2017'!C$32</f>
        <v>9.4218666666666655E-3</v>
      </c>
      <c r="D98" s="85" t="s">
        <v>31</v>
      </c>
      <c r="E98" s="88"/>
      <c r="F98" s="17"/>
    </row>
    <row r="99" spans="1:53" ht="18.75" customHeight="1" thickBot="1" x14ac:dyDescent="0.25">
      <c r="A99" s="92" t="s">
        <v>52</v>
      </c>
      <c r="B99" s="93"/>
      <c r="C99" s="94">
        <f>SUM(C96:C98)</f>
        <v>8.7007074666666675</v>
      </c>
      <c r="D99" s="93" t="s">
        <v>31</v>
      </c>
      <c r="E99" s="229"/>
      <c r="F99" s="17"/>
      <c r="G99" s="41"/>
      <c r="H99" s="41"/>
      <c r="I99" s="41"/>
      <c r="J99" s="41"/>
      <c r="K99" s="41"/>
      <c r="L99" s="41"/>
    </row>
    <row r="100" spans="1:53" ht="16.5" customHeight="1" thickTop="1" x14ac:dyDescent="0.2">
      <c r="A100" s="97" t="s">
        <v>60</v>
      </c>
      <c r="B100" s="98"/>
      <c r="C100" s="99">
        <f>100*NPV(C$21,N21:BA21)/(C$15*C$22)</f>
        <v>4.2149936818378269</v>
      </c>
      <c r="D100" s="100" t="s">
        <v>31</v>
      </c>
      <c r="E100" s="233">
        <f>(C100-C$58)/C$58</f>
        <v>6.7911084173342016E-3</v>
      </c>
      <c r="F100" s="59"/>
    </row>
    <row r="101" spans="1:53" x14ac:dyDescent="0.2">
      <c r="E101" s="17"/>
      <c r="F101" s="17"/>
      <c r="G101" s="17"/>
      <c r="H101" s="17"/>
      <c r="I101" s="17"/>
      <c r="J101" s="17"/>
      <c r="K101" s="17"/>
    </row>
    <row r="102" spans="1:53" ht="15.75" x14ac:dyDescent="0.25">
      <c r="A102" s="178" t="s">
        <v>83</v>
      </c>
      <c r="B102" s="179"/>
      <c r="C102" s="179"/>
      <c r="D102" s="179"/>
      <c r="E102" s="180"/>
      <c r="F102" s="59"/>
    </row>
    <row r="103" spans="1:53" ht="16.5" customHeight="1" x14ac:dyDescent="0.2">
      <c r="A103" s="123"/>
      <c r="B103" s="124"/>
      <c r="C103" s="124"/>
      <c r="D103" s="124"/>
      <c r="E103" s="127"/>
      <c r="F103" s="59"/>
      <c r="G103" s="17"/>
      <c r="H103" s="17"/>
      <c r="I103" s="17"/>
      <c r="J103" s="17"/>
      <c r="K103" s="17"/>
    </row>
    <row r="104" spans="1:53" ht="16.5" customHeight="1" x14ac:dyDescent="0.25">
      <c r="A104" s="203" t="s">
        <v>63</v>
      </c>
      <c r="B104" s="152"/>
      <c r="C104" s="152"/>
      <c r="D104" s="152"/>
      <c r="E104" s="153"/>
      <c r="F104" s="59"/>
      <c r="G104" s="17"/>
      <c r="H104" s="17"/>
      <c r="I104" s="17"/>
      <c r="J104" s="17"/>
      <c r="K104" s="17"/>
    </row>
    <row r="105" spans="1:53" ht="16.5" customHeight="1" x14ac:dyDescent="0.2">
      <c r="A105" s="154" t="s">
        <v>70</v>
      </c>
      <c r="B105" s="152"/>
      <c r="C105" s="152"/>
      <c r="D105" s="152"/>
      <c r="E105" s="155"/>
      <c r="F105" s="59"/>
      <c r="G105" s="17"/>
      <c r="H105" s="17"/>
      <c r="I105" s="17"/>
      <c r="J105" s="17"/>
      <c r="K105" s="17"/>
    </row>
    <row r="106" spans="1:53" ht="16.5" customHeight="1" x14ac:dyDescent="0.2">
      <c r="A106" s="123" t="s">
        <v>28</v>
      </c>
      <c r="B106" s="124"/>
      <c r="C106" s="125">
        <f>'KEV - KWK Kat 2 2014 - 15'!C$30</f>
        <v>7.8772656000000003</v>
      </c>
      <c r="D106" s="126" t="s">
        <v>31</v>
      </c>
      <c r="E106" s="127"/>
      <c r="F106" s="17"/>
      <c r="G106" s="17"/>
      <c r="H106" s="17"/>
      <c r="I106" s="17"/>
      <c r="J106" s="17"/>
      <c r="K106" s="17"/>
    </row>
    <row r="107" spans="1:53" ht="16.5" customHeight="1" x14ac:dyDescent="0.2">
      <c r="A107" s="123" t="s">
        <v>29</v>
      </c>
      <c r="B107" s="124"/>
      <c r="C107" s="125">
        <f>'KEV - KWK Kat 2 2014 - 15'!C$31</f>
        <v>1.425</v>
      </c>
      <c r="D107" s="124" t="s">
        <v>31</v>
      </c>
      <c r="E107" s="127"/>
      <c r="F107" s="17"/>
      <c r="G107" s="17"/>
      <c r="H107" s="17"/>
      <c r="I107" s="17"/>
      <c r="J107" s="17"/>
      <c r="K107" s="17"/>
    </row>
    <row r="108" spans="1:53" ht="16.5" customHeight="1" x14ac:dyDescent="0.2">
      <c r="A108" s="139" t="s">
        <v>30</v>
      </c>
      <c r="B108" s="140"/>
      <c r="C108" s="141"/>
      <c r="D108" s="142"/>
      <c r="E108" s="127"/>
      <c r="F108" s="17"/>
      <c r="G108" s="17"/>
      <c r="H108" s="17"/>
      <c r="I108" s="17"/>
      <c r="J108" s="17"/>
      <c r="K108" s="17"/>
    </row>
    <row r="109" spans="1:53" ht="18.75" customHeight="1" thickBot="1" x14ac:dyDescent="0.25">
      <c r="A109" s="129" t="s">
        <v>52</v>
      </c>
      <c r="B109" s="130"/>
      <c r="C109" s="131">
        <f>SUM(C106:C108)</f>
        <v>9.3022656000000001</v>
      </c>
      <c r="D109" s="130" t="s">
        <v>31</v>
      </c>
      <c r="E109" s="231"/>
      <c r="F109" s="17"/>
    </row>
    <row r="110" spans="1:53" s="49" customFormat="1" ht="16.5" customHeight="1" thickTop="1" x14ac:dyDescent="0.2">
      <c r="A110" s="186" t="s">
        <v>60</v>
      </c>
      <c r="B110" s="133"/>
      <c r="C110" s="187">
        <f>100*NPV(C$21,N23:BA23)/(C$15*C$22)</f>
        <v>4.4199219833480612</v>
      </c>
      <c r="D110" s="134" t="s">
        <v>31</v>
      </c>
      <c r="E110" s="231">
        <f>(C110-C$51)/C$51</f>
        <v>5.6418820438877651E-2</v>
      </c>
      <c r="F110" s="17"/>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row>
    <row r="111" spans="1:53" ht="16.5" customHeight="1" x14ac:dyDescent="0.2">
      <c r="A111" s="123"/>
      <c r="B111" s="124"/>
      <c r="C111" s="124"/>
      <c r="D111" s="124"/>
      <c r="E111" s="181"/>
      <c r="F111" s="17"/>
      <c r="G111" s="17"/>
      <c r="H111" s="17"/>
      <c r="I111" s="17"/>
      <c r="J111" s="17"/>
      <c r="K111" s="17"/>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row>
    <row r="112" spans="1:53" ht="16.5" customHeight="1" x14ac:dyDescent="0.25">
      <c r="A112" s="203" t="s">
        <v>64</v>
      </c>
      <c r="B112" s="152"/>
      <c r="C112" s="152"/>
      <c r="D112" s="152"/>
      <c r="E112" s="153"/>
      <c r="F112" s="17"/>
      <c r="G112" s="51"/>
      <c r="H112" s="51"/>
      <c r="I112" s="51"/>
      <c r="J112" s="51"/>
      <c r="K112" s="51"/>
      <c r="L112" s="51"/>
    </row>
    <row r="113" spans="1:53" ht="16.5" customHeight="1" x14ac:dyDescent="0.2">
      <c r="A113" s="123" t="s">
        <v>28</v>
      </c>
      <c r="B113" s="124"/>
      <c r="C113" s="125">
        <f>'KEV - KWK Kat 2 NN ab 2017'!C$30</f>
        <v>7.2662855999999998</v>
      </c>
      <c r="D113" s="126" t="s">
        <v>31</v>
      </c>
      <c r="E113" s="127"/>
      <c r="F113" s="17"/>
      <c r="G113" s="17"/>
      <c r="H113" s="17"/>
      <c r="I113" s="17"/>
      <c r="J113" s="17"/>
      <c r="K113" s="17"/>
      <c r="M113" s="51"/>
      <c r="N113" s="51"/>
      <c r="O113" s="51"/>
    </row>
    <row r="114" spans="1:53" ht="16.5" customHeight="1" x14ac:dyDescent="0.2">
      <c r="A114" s="123" t="s">
        <v>29</v>
      </c>
      <c r="B114" s="124"/>
      <c r="C114" s="125">
        <f>'KEV - KWK Kat 2 NN ab 2017'!C$31</f>
        <v>1.425</v>
      </c>
      <c r="D114" s="124" t="s">
        <v>31</v>
      </c>
      <c r="E114" s="127"/>
      <c r="F114" s="51"/>
      <c r="G114" s="17"/>
      <c r="H114" s="17"/>
      <c r="I114" s="17"/>
      <c r="J114" s="17"/>
      <c r="K114" s="17"/>
    </row>
    <row r="115" spans="1:53" ht="16.5" customHeight="1" x14ac:dyDescent="0.2">
      <c r="A115" s="139" t="s">
        <v>30</v>
      </c>
      <c r="B115" s="128"/>
      <c r="C115" s="141"/>
      <c r="D115" s="142"/>
      <c r="E115" s="127"/>
      <c r="F115" s="17"/>
    </row>
    <row r="116" spans="1:53" ht="18.75" customHeight="1" thickBot="1" x14ac:dyDescent="0.25">
      <c r="A116" s="129" t="s">
        <v>52</v>
      </c>
      <c r="B116" s="130"/>
      <c r="C116" s="131">
        <f>SUM(C113:C115)</f>
        <v>8.6912856000000005</v>
      </c>
      <c r="D116" s="130" t="s">
        <v>31</v>
      </c>
      <c r="E116" s="132"/>
      <c r="F116" s="17"/>
      <c r="G116" s="41"/>
      <c r="H116" s="41"/>
      <c r="I116" s="41"/>
      <c r="J116" s="41"/>
      <c r="K116" s="41"/>
      <c r="L116" s="41"/>
    </row>
    <row r="117" spans="1:53" ht="16.5" customHeight="1" thickTop="1" x14ac:dyDescent="0.2">
      <c r="A117" s="135" t="s">
        <v>60</v>
      </c>
      <c r="B117" s="136"/>
      <c r="C117" s="137">
        <f>100*NPV(C$21,N25:BA25)/(C$15*C$22)</f>
        <v>4.2117840051231976</v>
      </c>
      <c r="D117" s="138" t="s">
        <v>31</v>
      </c>
      <c r="E117" s="234">
        <f>(C117-C$51)/C$51</f>
        <v>6.6711374993962428E-3</v>
      </c>
      <c r="F117" s="59"/>
    </row>
    <row r="118" spans="1:53" x14ac:dyDescent="0.2">
      <c r="E118" s="17"/>
      <c r="F118" s="17"/>
      <c r="G118" s="17"/>
      <c r="H118" s="17"/>
      <c r="I118" s="17"/>
      <c r="J118" s="17"/>
      <c r="K118" s="17"/>
    </row>
    <row r="119" spans="1:53" ht="15.75" x14ac:dyDescent="0.25">
      <c r="A119" s="199" t="s">
        <v>84</v>
      </c>
      <c r="B119" s="200"/>
      <c r="C119" s="200"/>
      <c r="D119" s="200"/>
      <c r="E119" s="201"/>
      <c r="F119" s="59"/>
    </row>
    <row r="120" spans="1:53" ht="16.5" customHeight="1" x14ac:dyDescent="0.2">
      <c r="A120" s="159"/>
      <c r="B120" s="160"/>
      <c r="C120" s="160"/>
      <c r="D120" s="160"/>
      <c r="E120" s="163"/>
      <c r="F120" s="59"/>
      <c r="G120" s="17"/>
      <c r="H120" s="17"/>
      <c r="I120" s="17"/>
      <c r="J120" s="17"/>
      <c r="K120" s="17"/>
    </row>
    <row r="121" spans="1:53" ht="16.5" customHeight="1" x14ac:dyDescent="0.25">
      <c r="A121" s="204" t="s">
        <v>63</v>
      </c>
      <c r="B121" s="157"/>
      <c r="C121" s="157"/>
      <c r="D121" s="157"/>
      <c r="E121" s="197"/>
      <c r="F121" s="59"/>
      <c r="G121" s="17"/>
      <c r="H121" s="17"/>
      <c r="I121" s="17"/>
      <c r="J121" s="17"/>
      <c r="K121" s="17"/>
    </row>
    <row r="122" spans="1:53" ht="16.5" customHeight="1" x14ac:dyDescent="0.2">
      <c r="A122" s="149" t="s">
        <v>73</v>
      </c>
      <c r="B122" s="157"/>
      <c r="C122" s="157"/>
      <c r="D122" s="157"/>
      <c r="E122" s="158"/>
      <c r="F122" s="59"/>
      <c r="G122" s="17"/>
      <c r="H122" s="17"/>
      <c r="I122" s="17"/>
      <c r="J122" s="17"/>
      <c r="K122" s="17"/>
    </row>
    <row r="123" spans="1:53" ht="16.5" customHeight="1" x14ac:dyDescent="0.2">
      <c r="A123" s="159" t="s">
        <v>28</v>
      </c>
      <c r="B123" s="160"/>
      <c r="C123" s="161">
        <f>'KEV - KWK Kat 2 2014 - 15'!C$30</f>
        <v>7.8772656000000003</v>
      </c>
      <c r="D123" s="162" t="s">
        <v>31</v>
      </c>
      <c r="E123" s="163"/>
      <c r="F123" s="17"/>
      <c r="G123" s="17"/>
      <c r="H123" s="17"/>
      <c r="I123" s="17"/>
      <c r="J123" s="17"/>
      <c r="K123" s="17"/>
    </row>
    <row r="124" spans="1:53" ht="16.5" customHeight="1" x14ac:dyDescent="0.2">
      <c r="A124" s="159" t="s">
        <v>29</v>
      </c>
      <c r="B124" s="160"/>
      <c r="C124" s="161">
        <f>'KEV - KWK Kat 2 2014 - 15'!C$31</f>
        <v>1.425</v>
      </c>
      <c r="D124" s="160" t="s">
        <v>31</v>
      </c>
      <c r="E124" s="163"/>
      <c r="F124" s="17"/>
      <c r="G124" s="17"/>
      <c r="H124" s="17"/>
      <c r="I124" s="17"/>
      <c r="J124" s="17"/>
      <c r="K124" s="17"/>
    </row>
    <row r="125" spans="1:53" ht="16.5" customHeight="1" x14ac:dyDescent="0.2">
      <c r="A125" s="164" t="s">
        <v>30</v>
      </c>
      <c r="B125" s="165"/>
      <c r="C125" s="166">
        <f>'KEV - KWK Kat 2 2016'!C$32</f>
        <v>9.4218666666666655E-3</v>
      </c>
      <c r="D125" s="167" t="s">
        <v>31</v>
      </c>
      <c r="E125" s="163"/>
      <c r="F125" s="17"/>
      <c r="G125" s="17"/>
      <c r="H125" s="17"/>
      <c r="I125" s="17"/>
      <c r="J125" s="17"/>
      <c r="K125" s="17"/>
    </row>
    <row r="126" spans="1:53" ht="18.75" customHeight="1" thickBot="1" x14ac:dyDescent="0.25">
      <c r="A126" s="168" t="s">
        <v>52</v>
      </c>
      <c r="B126" s="169"/>
      <c r="C126" s="170">
        <f>SUM(C123:C125)</f>
        <v>9.3116874666666671</v>
      </c>
      <c r="D126" s="169" t="s">
        <v>31</v>
      </c>
      <c r="E126" s="171"/>
      <c r="F126" s="17"/>
    </row>
    <row r="127" spans="1:53" s="49" customFormat="1" ht="16.5" customHeight="1" thickTop="1" x14ac:dyDescent="0.2">
      <c r="A127" s="195" t="s">
        <v>60</v>
      </c>
      <c r="B127" s="172"/>
      <c r="C127" s="196">
        <f>100*NPV(C$21,N27:BA27)/(C$15*C$22)</f>
        <v>4.4231316600626895</v>
      </c>
      <c r="D127" s="173" t="s">
        <v>31</v>
      </c>
      <c r="E127" s="235">
        <f>(C127-C$58)/C$58</f>
        <v>5.6506833189045744E-2</v>
      </c>
      <c r="F127" s="17"/>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row>
    <row r="128" spans="1:53" ht="16.5" customHeight="1" x14ac:dyDescent="0.2">
      <c r="A128" s="159"/>
      <c r="B128" s="160"/>
      <c r="C128" s="160"/>
      <c r="D128" s="160"/>
      <c r="E128" s="198"/>
      <c r="F128" s="17"/>
      <c r="G128" s="17"/>
      <c r="H128" s="17"/>
      <c r="I128" s="17"/>
      <c r="J128" s="17"/>
      <c r="K128" s="17"/>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row>
    <row r="129" spans="1:53" ht="16.5" customHeight="1" x14ac:dyDescent="0.25">
      <c r="A129" s="204" t="s">
        <v>64</v>
      </c>
      <c r="B129" s="157"/>
      <c r="C129" s="157"/>
      <c r="D129" s="157"/>
      <c r="E129" s="197"/>
      <c r="F129" s="17"/>
      <c r="G129" s="51"/>
      <c r="H129" s="51"/>
      <c r="I129" s="51"/>
      <c r="J129" s="51"/>
      <c r="K129" s="51"/>
      <c r="L129" s="51"/>
    </row>
    <row r="130" spans="1:53" ht="16.5" customHeight="1" x14ac:dyDescent="0.2">
      <c r="A130" s="159" t="s">
        <v>28</v>
      </c>
      <c r="B130" s="160"/>
      <c r="C130" s="161">
        <f>'KEV - KWK Kat 2 NN ab 2017'!C$30</f>
        <v>7.2662855999999998</v>
      </c>
      <c r="D130" s="162" t="s">
        <v>31</v>
      </c>
      <c r="E130" s="163"/>
      <c r="F130" s="17"/>
      <c r="G130" s="17"/>
      <c r="H130" s="17"/>
      <c r="I130" s="17"/>
      <c r="J130" s="17"/>
      <c r="K130" s="17"/>
      <c r="M130" s="51"/>
      <c r="N130" s="51"/>
      <c r="O130" s="51"/>
    </row>
    <row r="131" spans="1:53" ht="16.5" customHeight="1" x14ac:dyDescent="0.2">
      <c r="A131" s="159" t="s">
        <v>29</v>
      </c>
      <c r="B131" s="160"/>
      <c r="C131" s="161">
        <f>'KEV - KWK Kat 2 NN ab 2017'!C$31</f>
        <v>1.425</v>
      </c>
      <c r="D131" s="160" t="s">
        <v>31</v>
      </c>
      <c r="E131" s="163"/>
      <c r="F131" s="51"/>
      <c r="G131" s="17"/>
      <c r="H131" s="17"/>
      <c r="I131" s="17"/>
      <c r="J131" s="17"/>
      <c r="K131" s="17"/>
    </row>
    <row r="132" spans="1:53" ht="16.5" customHeight="1" x14ac:dyDescent="0.2">
      <c r="A132" s="164" t="s">
        <v>30</v>
      </c>
      <c r="B132" s="165"/>
      <c r="C132" s="161">
        <f>'KEV - KWK Kat 2 NN ab 2017'!C$32</f>
        <v>9.4218666666666655E-3</v>
      </c>
      <c r="D132" s="167" t="s">
        <v>31</v>
      </c>
      <c r="E132" s="163"/>
      <c r="F132" s="17"/>
    </row>
    <row r="133" spans="1:53" ht="18.75" customHeight="1" thickBot="1" x14ac:dyDescent="0.25">
      <c r="A133" s="168" t="s">
        <v>52</v>
      </c>
      <c r="B133" s="169"/>
      <c r="C133" s="170">
        <f>SUM(C130:C132)</f>
        <v>8.7007074666666675</v>
      </c>
      <c r="D133" s="169" t="s">
        <v>31</v>
      </c>
      <c r="E133" s="171"/>
      <c r="G133" s="41"/>
      <c r="H133" s="41"/>
      <c r="I133" s="41"/>
      <c r="J133" s="41"/>
      <c r="K133" s="41"/>
      <c r="L133" s="41"/>
    </row>
    <row r="134" spans="1:53" ht="16.5" customHeight="1" thickTop="1" x14ac:dyDescent="0.2">
      <c r="A134" s="174" t="s">
        <v>60</v>
      </c>
      <c r="B134" s="175"/>
      <c r="C134" s="176">
        <f>100*NPV(C$21,N29:BA29)/(C$15*C$22)</f>
        <v>4.2149936818378269</v>
      </c>
      <c r="D134" s="177" t="s">
        <v>31</v>
      </c>
      <c r="E134" s="236">
        <f>(C134-C$58)/C$58</f>
        <v>6.7911084173342016E-3</v>
      </c>
      <c r="F134" s="59"/>
    </row>
    <row r="135" spans="1:53" x14ac:dyDescent="0.2">
      <c r="E135" s="17"/>
      <c r="F135" s="59"/>
      <c r="G135" s="17"/>
      <c r="H135" s="17"/>
      <c r="I135" s="17"/>
      <c r="J135" s="17"/>
      <c r="K135" s="17"/>
    </row>
    <row r="136" spans="1:53" ht="15.75" x14ac:dyDescent="0.25">
      <c r="A136" s="102" t="s">
        <v>53</v>
      </c>
      <c r="B136" s="103"/>
      <c r="C136" s="103"/>
      <c r="D136" s="103"/>
      <c r="E136" s="104"/>
      <c r="F136" s="59"/>
      <c r="G136" s="17"/>
      <c r="H136" s="17"/>
      <c r="I136" s="17"/>
      <c r="J136" s="17"/>
      <c r="K136" s="17"/>
    </row>
    <row r="137" spans="1:53" ht="18" customHeight="1" x14ac:dyDescent="0.2">
      <c r="A137" s="105" t="s">
        <v>28</v>
      </c>
      <c r="B137" s="106"/>
      <c r="C137" s="107">
        <f>IF(C14-G10&lt;=0,G11,IF(C14-H10&lt;=0,(G11*G10+(C14-G10)*H11)/C14,IF(C14-I10&lt;=0,(G11*G10+H11*(H10-G10)+(C14-H10)*I11)/C14,IF(C14-J10&lt;=0,(G11*G10+H11*(H10-G10)+I11*(I10-H10)+(C14-I10)*J11)/C14,IF(C14-K10&lt;=0,(G11*G10+H11*(H10-G10)+I11*(I10-H10)+J11*(J10-I10)+(C14-J10)*K11)/C14,0)))))</f>
        <v>8.3558520000000005</v>
      </c>
      <c r="D137" s="108" t="s">
        <v>31</v>
      </c>
      <c r="E137" s="109"/>
      <c r="F137" s="17"/>
      <c r="G137" s="17"/>
      <c r="H137" s="17"/>
      <c r="I137" s="17"/>
      <c r="J137" s="17"/>
      <c r="K137" s="17"/>
    </row>
    <row r="138" spans="1:53" ht="18" customHeight="1" x14ac:dyDescent="0.2">
      <c r="A138" s="105" t="s">
        <v>29</v>
      </c>
      <c r="B138" s="106"/>
      <c r="C138" s="107">
        <f>C35</f>
        <v>1.2833333333333334</v>
      </c>
      <c r="D138" s="106" t="s">
        <v>31</v>
      </c>
      <c r="E138" s="109"/>
      <c r="F138" s="17"/>
      <c r="G138" s="17"/>
      <c r="H138" s="17"/>
      <c r="I138" s="17"/>
      <c r="J138" s="17"/>
      <c r="K138" s="17"/>
    </row>
    <row r="139" spans="1:53" ht="18.75" customHeight="1" x14ac:dyDescent="0.2">
      <c r="A139" s="110" t="s">
        <v>30</v>
      </c>
      <c r="B139" s="106"/>
      <c r="C139" s="111">
        <f>C34</f>
        <v>0.56392622222222211</v>
      </c>
      <c r="D139" s="106" t="s">
        <v>31</v>
      </c>
      <c r="E139" s="109"/>
      <c r="F139" s="17"/>
      <c r="G139" s="17"/>
      <c r="H139" s="17"/>
      <c r="I139" s="17"/>
      <c r="J139" s="17"/>
      <c r="K139" s="17"/>
    </row>
    <row r="140" spans="1:53" ht="18.75" customHeight="1" thickBot="1" x14ac:dyDescent="0.25">
      <c r="A140" s="112" t="s">
        <v>51</v>
      </c>
      <c r="B140" s="113"/>
      <c r="C140" s="114">
        <f>IF(C14&lt;10000,IF(SUM(C137:C139)&gt;35,35,SUM(C137:C139)),0)</f>
        <v>10.203111555555555</v>
      </c>
      <c r="D140" s="115" t="s">
        <v>31</v>
      </c>
      <c r="E140" s="116"/>
      <c r="F140" s="17"/>
      <c r="G140" s="17"/>
      <c r="H140" s="17"/>
      <c r="I140" s="17"/>
      <c r="J140" s="17"/>
      <c r="K140" s="17"/>
    </row>
    <row r="141" spans="1:53" ht="16.5" customHeight="1" thickTop="1" x14ac:dyDescent="0.2">
      <c r="A141" s="117" t="s">
        <v>60</v>
      </c>
      <c r="B141" s="118"/>
      <c r="C141" s="119">
        <f>100*NPV(C21,N11:BA11)/(C$15*C$22)</f>
        <v>4.8394534015585169</v>
      </c>
      <c r="D141" s="120" t="s">
        <v>31</v>
      </c>
      <c r="E141" s="121"/>
      <c r="F141" s="41"/>
      <c r="G141" s="41"/>
      <c r="H141" s="41"/>
      <c r="I141" s="41"/>
      <c r="J141" s="41"/>
      <c r="K141" s="41"/>
      <c r="L141" s="41"/>
      <c r="M141" s="41"/>
      <c r="N141" s="42"/>
      <c r="O141" s="42"/>
      <c r="AU141" s="44"/>
      <c r="AV141" s="44"/>
      <c r="AW141" s="44"/>
      <c r="AX141" s="44"/>
      <c r="AY141" s="44"/>
      <c r="AZ141" s="44"/>
      <c r="BA141" s="44"/>
    </row>
    <row r="142" spans="1:53" x14ac:dyDescent="0.2">
      <c r="E142" s="32"/>
      <c r="F142" s="41"/>
      <c r="G142" s="44"/>
      <c r="H142" s="44"/>
      <c r="I142" s="44"/>
      <c r="J142" s="44"/>
      <c r="K142" s="44"/>
      <c r="L142" s="44"/>
      <c r="M142" s="41"/>
      <c r="N142" s="42"/>
      <c r="O142" s="42"/>
    </row>
    <row r="143" spans="1:53" x14ac:dyDescent="0.2">
      <c r="A143" s="5" t="s">
        <v>38</v>
      </c>
      <c r="E143" s="17"/>
      <c r="F143" s="50"/>
      <c r="M143" s="44"/>
      <c r="N143" s="43"/>
      <c r="O143" s="43"/>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row>
    <row r="144" spans="1:53" x14ac:dyDescent="0.2">
      <c r="E144" s="17"/>
      <c r="F144" s="44"/>
    </row>
    <row r="145" spans="1:6" x14ac:dyDescent="0.2">
      <c r="A145" s="14" t="s">
        <v>32</v>
      </c>
      <c r="E145" s="17"/>
    </row>
    <row r="146" spans="1:6" x14ac:dyDescent="0.2">
      <c r="A146" s="5" t="s">
        <v>33</v>
      </c>
      <c r="C146" s="15"/>
      <c r="E146" s="17"/>
    </row>
    <row r="147" spans="1:6" x14ac:dyDescent="0.2">
      <c r="E147" s="17"/>
    </row>
    <row r="148" spans="1:6" x14ac:dyDescent="0.2">
      <c r="E148" s="17"/>
      <c r="F148" s="64"/>
    </row>
    <row r="149" spans="1:6" ht="15" x14ac:dyDescent="0.25">
      <c r="A149" s="244"/>
      <c r="B149" s="245"/>
      <c r="C149" s="245"/>
      <c r="D149" s="245"/>
      <c r="E149" s="245"/>
    </row>
    <row r="150" spans="1:6" ht="51.75" customHeight="1" x14ac:dyDescent="0.2">
      <c r="A150" s="64"/>
      <c r="E150" s="65" t="s">
        <v>48</v>
      </c>
    </row>
    <row r="151" spans="1:6" ht="18.75" customHeight="1" x14ac:dyDescent="0.2">
      <c r="E151" s="17"/>
    </row>
    <row r="152" spans="1:6" ht="18.75" customHeight="1" x14ac:dyDescent="0.2">
      <c r="A152" s="41"/>
      <c r="B152" s="41"/>
      <c r="C152" s="41"/>
      <c r="D152" s="41"/>
      <c r="E152" s="41"/>
    </row>
    <row r="153" spans="1:6" ht="19.5" customHeight="1" x14ac:dyDescent="0.2">
      <c r="A153" s="242" t="s">
        <v>62</v>
      </c>
      <c r="B153" s="243"/>
      <c r="C153" s="243"/>
      <c r="D153" s="243"/>
      <c r="E153" s="243"/>
    </row>
    <row r="154" spans="1:6" x14ac:dyDescent="0.2">
      <c r="A154" s="45" t="s">
        <v>93</v>
      </c>
      <c r="B154" s="44"/>
      <c r="C154" s="44"/>
      <c r="D154" s="44"/>
      <c r="E154" s="44"/>
    </row>
    <row r="156" spans="1:6" x14ac:dyDescent="0.2">
      <c r="A156" s="40"/>
    </row>
  </sheetData>
  <sheetProtection password="AFA5" sheet="1" objects="1" scenarios="1" selectLockedCells="1"/>
  <mergeCells count="17">
    <mergeCell ref="A3:E3"/>
    <mergeCell ref="M10:M11"/>
    <mergeCell ref="M12:M13"/>
    <mergeCell ref="M16:M17"/>
    <mergeCell ref="M14:M15"/>
    <mergeCell ref="M32:M33"/>
    <mergeCell ref="M34:M35"/>
    <mergeCell ref="A7:E7"/>
    <mergeCell ref="A153:E153"/>
    <mergeCell ref="A149:E149"/>
    <mergeCell ref="M20:M21"/>
    <mergeCell ref="M22:M23"/>
    <mergeCell ref="M26:M27"/>
    <mergeCell ref="M28:M29"/>
    <mergeCell ref="M18:M19"/>
    <mergeCell ref="M24:M25"/>
    <mergeCell ref="M30:M31"/>
  </mergeCells>
  <phoneticPr fontId="5" type="noConversion"/>
  <hyperlinks>
    <hyperlink ref="E150" r:id="rId1"/>
  </hyperlinks>
  <pageMargins left="0.74803149606299213" right="0.74803149606299213" top="0.98425196850393704" bottom="0.98425196850393704" header="0.51181102362204722" footer="0.51181102362204722"/>
  <pageSetup paperSize="9" scale="67" orientation="portrait" verticalDpi="300"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zoomScale="85" zoomScaleNormal="85" workbookViewId="0">
      <selection activeCell="C8" sqref="C8"/>
    </sheetView>
  </sheetViews>
  <sheetFormatPr defaultColWidth="11.5703125" defaultRowHeight="12.75" outlineLevelRow="1" outlineLevelCol="1" x14ac:dyDescent="0.2"/>
  <cols>
    <col min="1" max="1" width="79.5703125" style="5" customWidth="1"/>
    <col min="2" max="2" width="3.5703125" style="5" customWidth="1"/>
    <col min="3" max="3" width="14.5703125" style="5" customWidth="1"/>
    <col min="4" max="4" width="12" style="5" bestFit="1" customWidth="1"/>
    <col min="5" max="5" width="16.42578125" style="5" hidden="1" customWidth="1" outlineLevel="1"/>
    <col min="6" max="6" width="33" style="5" hidden="1" customWidth="1" outlineLevel="1"/>
    <col min="7" max="11" width="11.5703125" style="5" hidden="1" customWidth="1" outlineLevel="1"/>
    <col min="12" max="12" width="16.42578125" style="5" customWidth="1" collapsed="1"/>
    <col min="13" max="13" width="16.7109375" style="5" customWidth="1"/>
    <col min="14" max="16384" width="11.5703125" style="5"/>
  </cols>
  <sheetData>
    <row r="1" spans="1:11" ht="18" x14ac:dyDescent="0.25">
      <c r="A1" s="4" t="s">
        <v>78</v>
      </c>
    </row>
    <row r="3" spans="1:11" s="17" customFormat="1" hidden="1" outlineLevel="1" x14ac:dyDescent="0.2">
      <c r="E3" s="16" t="s">
        <v>0</v>
      </c>
      <c r="G3" s="18" t="s">
        <v>1</v>
      </c>
      <c r="H3" s="18" t="s">
        <v>1</v>
      </c>
      <c r="I3" s="18" t="s">
        <v>1</v>
      </c>
      <c r="J3" s="18" t="s">
        <v>1</v>
      </c>
      <c r="K3" s="18" t="s">
        <v>1</v>
      </c>
    </row>
    <row r="4" spans="1:11" s="17" customFormat="1" hidden="1" outlineLevel="1" x14ac:dyDescent="0.2">
      <c r="A4" s="34"/>
      <c r="G4" s="19">
        <v>30</v>
      </c>
      <c r="H4" s="19">
        <v>100</v>
      </c>
      <c r="I4" s="19">
        <v>300</v>
      </c>
      <c r="J4" s="19">
        <v>1000</v>
      </c>
      <c r="K4" s="19">
        <v>10000</v>
      </c>
    </row>
    <row r="5" spans="1:11" s="17" customFormat="1" hidden="1" outlineLevel="1" x14ac:dyDescent="0.2">
      <c r="F5" s="16" t="s">
        <v>41</v>
      </c>
      <c r="G5" s="20">
        <v>26.5</v>
      </c>
      <c r="H5" s="20">
        <v>17.8</v>
      </c>
      <c r="I5" s="20">
        <v>12.2</v>
      </c>
      <c r="J5" s="20">
        <v>8.9</v>
      </c>
      <c r="K5" s="20">
        <v>6.6</v>
      </c>
    </row>
    <row r="6" spans="1:11" s="17" customFormat="1" hidden="1" outlineLevel="1" x14ac:dyDescent="0.2">
      <c r="F6" s="21"/>
      <c r="G6" s="22"/>
      <c r="H6" s="22"/>
    </row>
    <row r="7" spans="1:11" collapsed="1" x14ac:dyDescent="0.2">
      <c r="A7" s="6" t="s">
        <v>21</v>
      </c>
      <c r="C7" s="7">
        <f>C8/C9</f>
        <v>5707.7625570776254</v>
      </c>
      <c r="D7" s="5" t="s">
        <v>17</v>
      </c>
      <c r="E7" s="17"/>
      <c r="F7" s="22"/>
      <c r="G7" s="23"/>
      <c r="H7" s="22"/>
      <c r="I7" s="17"/>
      <c r="J7" s="17"/>
      <c r="K7" s="17"/>
    </row>
    <row r="8" spans="1:11" x14ac:dyDescent="0.2">
      <c r="A8" s="5" t="s">
        <v>22</v>
      </c>
      <c r="C8" s="47">
        <f>'Berechnung KEV - KWK'!C15</f>
        <v>50000000</v>
      </c>
      <c r="D8" s="5" t="s">
        <v>16</v>
      </c>
      <c r="E8" s="17"/>
      <c r="F8" s="22"/>
      <c r="G8" s="24"/>
      <c r="H8" s="22"/>
      <c r="I8" s="17"/>
      <c r="J8" s="17"/>
      <c r="K8" s="17"/>
    </row>
    <row r="9" spans="1:11" x14ac:dyDescent="0.2">
      <c r="A9" s="5" t="s">
        <v>23</v>
      </c>
      <c r="C9" s="47">
        <f>'Berechnung KEV - KWK'!C16</f>
        <v>8760</v>
      </c>
      <c r="D9" s="5" t="s">
        <v>18</v>
      </c>
      <c r="E9" s="17"/>
      <c r="F9" s="22"/>
      <c r="G9" s="22"/>
      <c r="H9" s="22"/>
      <c r="I9" s="17"/>
      <c r="J9" s="17"/>
      <c r="K9" s="17"/>
    </row>
    <row r="10" spans="1:11" x14ac:dyDescent="0.2">
      <c r="A10" s="5" t="s">
        <v>24</v>
      </c>
      <c r="C10" s="47">
        <f>'Berechnung KEV - KWK'!C17</f>
        <v>180</v>
      </c>
      <c r="D10" s="5" t="s">
        <v>19</v>
      </c>
      <c r="E10" s="17"/>
      <c r="F10" s="22"/>
      <c r="G10" s="22"/>
      <c r="H10" s="22"/>
      <c r="I10" s="17"/>
      <c r="J10" s="17"/>
      <c r="K10" s="17"/>
    </row>
    <row r="11" spans="1:11" x14ac:dyDescent="0.2">
      <c r="A11" s="5" t="s">
        <v>25</v>
      </c>
      <c r="C11" s="47">
        <f>'Berechnung KEV - KWK'!C18</f>
        <v>2250000</v>
      </c>
      <c r="D11" s="5" t="s">
        <v>20</v>
      </c>
      <c r="E11" s="17"/>
      <c r="F11" s="22"/>
      <c r="G11" s="22"/>
      <c r="H11" s="22"/>
      <c r="I11" s="17"/>
      <c r="J11" s="17"/>
      <c r="K11" s="17"/>
    </row>
    <row r="12" spans="1:11" x14ac:dyDescent="0.2">
      <c r="A12" s="5" t="s">
        <v>26</v>
      </c>
      <c r="C12" s="47">
        <f>'Berechnung KEV - KWK'!C19</f>
        <v>600000</v>
      </c>
      <c r="D12" s="5" t="s">
        <v>20</v>
      </c>
      <c r="E12" s="17"/>
      <c r="F12" s="25"/>
      <c r="G12" s="22"/>
      <c r="H12" s="22"/>
      <c r="I12" s="22"/>
      <c r="J12" s="22"/>
      <c r="K12" s="22"/>
    </row>
    <row r="13" spans="1:11" s="8" customFormat="1" x14ac:dyDescent="0.2">
      <c r="D13" s="9"/>
      <c r="E13" s="22"/>
      <c r="F13" s="23"/>
      <c r="G13" s="22"/>
      <c r="H13" s="22"/>
      <c r="I13" s="22"/>
      <c r="J13" s="22"/>
      <c r="K13" s="22"/>
    </row>
    <row r="14" spans="1:11" s="22" customFormat="1" hidden="1" outlineLevel="1" x14ac:dyDescent="0.2">
      <c r="A14" s="33" t="s">
        <v>3</v>
      </c>
      <c r="G14" s="24"/>
    </row>
    <row r="15" spans="1:11" s="22" customFormat="1" hidden="1" outlineLevel="1" x14ac:dyDescent="0.2">
      <c r="A15" s="22" t="s">
        <v>4</v>
      </c>
      <c r="D15" s="24"/>
      <c r="G15" s="23"/>
    </row>
    <row r="16" spans="1:11" s="22" customFormat="1" hidden="1" outlineLevel="1" x14ac:dyDescent="0.2">
      <c r="F16" s="26"/>
      <c r="G16" s="27" t="s">
        <v>1</v>
      </c>
      <c r="H16" s="27" t="s">
        <v>1</v>
      </c>
      <c r="I16" s="27" t="s">
        <v>1</v>
      </c>
      <c r="J16" s="27" t="s">
        <v>1</v>
      </c>
      <c r="K16" s="27" t="s">
        <v>6</v>
      </c>
    </row>
    <row r="17" spans="1:12" s="17" customFormat="1" hidden="1" outlineLevel="1" x14ac:dyDescent="0.2">
      <c r="A17" s="34" t="s">
        <v>5</v>
      </c>
      <c r="F17" s="26" t="s">
        <v>2</v>
      </c>
      <c r="G17" s="28">
        <v>5</v>
      </c>
      <c r="H17" s="28">
        <v>10</v>
      </c>
      <c r="I17" s="28">
        <v>20</v>
      </c>
      <c r="J17" s="28">
        <v>50</v>
      </c>
      <c r="K17" s="28">
        <v>50</v>
      </c>
    </row>
    <row r="18" spans="1:12" s="17" customFormat="1" hidden="1" outlineLevel="1" x14ac:dyDescent="0.2">
      <c r="F18" s="26" t="s">
        <v>43</v>
      </c>
      <c r="G18" s="29">
        <v>5.0999999999999996</v>
      </c>
      <c r="H18" s="29">
        <v>3</v>
      </c>
      <c r="I18" s="29">
        <v>2.2000000000000002</v>
      </c>
      <c r="J18" s="29">
        <v>1.7</v>
      </c>
      <c r="K18" s="29">
        <v>1.1000000000000001</v>
      </c>
    </row>
    <row r="19" spans="1:12" s="17" customFormat="1" hidden="1" outlineLevel="1" x14ac:dyDescent="0.2">
      <c r="A19" s="17" t="s">
        <v>7</v>
      </c>
      <c r="F19" s="22"/>
      <c r="G19" s="22"/>
      <c r="H19" s="22"/>
      <c r="I19" s="22"/>
      <c r="J19" s="22"/>
      <c r="K19" s="22"/>
    </row>
    <row r="20" spans="1:12" s="17" customFormat="1" hidden="1" outlineLevel="1" x14ac:dyDescent="0.2">
      <c r="F20" s="26" t="s">
        <v>9</v>
      </c>
      <c r="G20" s="30">
        <v>30</v>
      </c>
      <c r="H20" s="30">
        <v>100</v>
      </c>
      <c r="I20" s="30">
        <v>300</v>
      </c>
      <c r="J20" s="30">
        <v>1000</v>
      </c>
      <c r="K20" s="30">
        <v>10000</v>
      </c>
      <c r="L20" s="22"/>
    </row>
    <row r="21" spans="1:12" s="17" customFormat="1" hidden="1" outlineLevel="1" x14ac:dyDescent="0.2">
      <c r="F21" s="26" t="s">
        <v>44</v>
      </c>
      <c r="G21" s="31">
        <v>5.6</v>
      </c>
      <c r="H21" s="31">
        <v>4</v>
      </c>
      <c r="I21" s="31">
        <v>2.6</v>
      </c>
      <c r="J21" s="31">
        <v>1.4</v>
      </c>
      <c r="K21" s="31">
        <v>1.4</v>
      </c>
      <c r="L21" s="22"/>
    </row>
    <row r="22" spans="1:12" s="17" customFormat="1" hidden="1" outlineLevel="1" x14ac:dyDescent="0.2">
      <c r="A22" s="17" t="s">
        <v>10</v>
      </c>
    </row>
    <row r="23" spans="1:12" s="17" customFormat="1" hidden="1" outlineLevel="1" x14ac:dyDescent="0.2">
      <c r="D23" s="35"/>
      <c r="F23" s="22"/>
    </row>
    <row r="24" spans="1:12" hidden="1" outlineLevel="1" x14ac:dyDescent="0.2">
      <c r="A24" s="5" t="s">
        <v>12</v>
      </c>
      <c r="B24" s="5" t="s">
        <v>13</v>
      </c>
      <c r="C24" s="10">
        <f>IF((C12/C11)&lt;0.2,0,IF((C12/C11)&gt;0.5,1,((C12/C11)-0.2)/0.3))*IF(C7&lt;=G20,HLOOKUP(G20,neubau,2),IF(C7&lt;=50,(G20*HLOOKUP(G20,neubau,2)+(C7-G20)*HLOOKUP(H20,neubau,2))/C7,(G20*HLOOKUP(G20,neubau,2)+(50-G20)*HLOOKUP(H20,neubau,2))/C7))</f>
        <v>9.6554666666666643E-3</v>
      </c>
      <c r="D24" s="3">
        <f>IF((C12/C11)&lt;0.2,0,IF((C12/C11)&gt;0.5,1,((C12/C11)-0.2)/0.3))*IF(C7&lt;=10,HLOOKUP(10,neubau,2),IF(C7&lt;=50,HLOOKUP(50,neubau,2),IF(C7&lt;=300,HLOOKUP(300,neubau,2),IF(C7&lt;=1000,HLOOKUP(1000,neubau,2),IF(C7&lt;=10000,HLOOKUP(10000,neubau,2))))))</f>
        <v>0.31111111111111106</v>
      </c>
      <c r="E24" s="17"/>
      <c r="F24" s="17"/>
      <c r="G24" s="17"/>
      <c r="H24" s="17"/>
      <c r="I24" s="17"/>
      <c r="J24" s="17"/>
      <c r="K24" s="17"/>
    </row>
    <row r="25" spans="1:12" hidden="1" outlineLevel="1" x14ac:dyDescent="0.2">
      <c r="B25" s="5" t="s">
        <v>14</v>
      </c>
      <c r="C25" s="10">
        <f>IF(C$10-G$17&lt;=0,G18,IF(C$10-H$17&lt;=0,(G$17*G18+(C$10-G$17)*H18)/C$10,IF(C$10-I$17&lt;=0,(G$17*G18+(H$17-$G17)*H18+(C$10-H$17)*I18)/C$10,IF(C$10-J$17&lt;=0,(G$17*G18+(H$17-G$17)*H18+(I$17-H$17)*I18+(C$10-I$17)*J18)/C$10,IF(C$10-J$17&gt;0,(G$17*G18+(H$17-G$17)*H18+(I$17-H$17)*I18+(J$17-I$17)*J18+(C10-J$17)*K18)/C$10,"Fehler")))))</f>
        <v>1.425</v>
      </c>
      <c r="D25" s="3"/>
      <c r="E25" s="17"/>
      <c r="F25" s="17"/>
      <c r="G25" s="17"/>
      <c r="H25" s="17"/>
      <c r="I25" s="17"/>
      <c r="J25" s="17"/>
      <c r="K25" s="17"/>
    </row>
    <row r="26" spans="1:12" hidden="1" outlineLevel="1" x14ac:dyDescent="0.2">
      <c r="A26" s="8"/>
      <c r="B26" s="8"/>
      <c r="C26" s="11"/>
      <c r="D26" s="3"/>
      <c r="E26" s="22"/>
      <c r="F26" s="17"/>
      <c r="G26" s="17"/>
      <c r="H26" s="17"/>
      <c r="I26" s="17"/>
      <c r="J26" s="17"/>
      <c r="K26" s="17"/>
    </row>
    <row r="27" spans="1:12" collapsed="1" x14ac:dyDescent="0.2">
      <c r="E27" s="17"/>
      <c r="F27" s="17"/>
      <c r="G27" s="17"/>
      <c r="H27" s="17"/>
      <c r="I27" s="17"/>
      <c r="J27" s="17"/>
      <c r="K27" s="17"/>
    </row>
    <row r="28" spans="1:12" x14ac:dyDescent="0.2">
      <c r="A28" s="6" t="s">
        <v>27</v>
      </c>
      <c r="E28" s="17"/>
      <c r="F28" s="17"/>
      <c r="G28" s="17"/>
      <c r="H28" s="17"/>
      <c r="I28" s="17"/>
      <c r="J28" s="17"/>
      <c r="K28" s="17"/>
    </row>
    <row r="29" spans="1:12" x14ac:dyDescent="0.2">
      <c r="A29" s="5" t="s">
        <v>28</v>
      </c>
      <c r="C29" s="12">
        <f>IF(C7-G4&lt;=0,G5,IF(C7-H4&lt;=0,(G5*G4+(C7-G4)*H5)/C7,IF(C7-I4&lt;=0,(G5*G4+H5*(H4-G4)+(C7-H4)*I5)/C7,IF(C7-J4&lt;=0,(G5*G4+H5*(H4-G4)+I5*(I4-H4)+(C7-I4)*J5)/C7,IF(C7-K4&lt;=0,(G5*G4+H5*(H4-G4)+I5*(I4-H4)+J5*(J4-I4)+(C7-J4)*K5)/C7,0)))))</f>
        <v>7.3202471999999998</v>
      </c>
      <c r="D29" s="13" t="s">
        <v>31</v>
      </c>
      <c r="E29" s="17"/>
      <c r="F29" s="17"/>
      <c r="G29" s="17"/>
      <c r="H29" s="17"/>
      <c r="I29" s="17"/>
      <c r="J29" s="17"/>
      <c r="K29" s="17"/>
    </row>
    <row r="30" spans="1:12" x14ac:dyDescent="0.2">
      <c r="A30" s="5" t="s">
        <v>29</v>
      </c>
      <c r="C30" s="12">
        <f>C25</f>
        <v>1.425</v>
      </c>
      <c r="D30" s="5" t="s">
        <v>31</v>
      </c>
      <c r="E30" s="17"/>
      <c r="F30" s="17"/>
      <c r="G30" s="17"/>
      <c r="H30" s="17"/>
      <c r="I30" s="17"/>
      <c r="J30" s="17"/>
      <c r="K30" s="17"/>
    </row>
    <row r="31" spans="1:12" x14ac:dyDescent="0.2">
      <c r="A31" s="36" t="s">
        <v>30</v>
      </c>
      <c r="C31" s="12">
        <f>C24</f>
        <v>9.6554666666666643E-3</v>
      </c>
      <c r="D31" s="5" t="s">
        <v>31</v>
      </c>
      <c r="E31" s="17"/>
      <c r="F31" s="17"/>
      <c r="G31" s="17"/>
      <c r="H31" s="17"/>
      <c r="I31" s="17"/>
      <c r="J31" s="17"/>
      <c r="K31" s="17"/>
    </row>
    <row r="32" spans="1:12" ht="21.2" customHeight="1" thickBot="1" x14ac:dyDescent="0.25">
      <c r="A32" s="38" t="s">
        <v>15</v>
      </c>
      <c r="B32" s="38"/>
      <c r="C32" s="37">
        <f>IF(C7&lt;10000,IF(SUM(C29:C31)&gt;38,38,SUM(C29:C31)),0)</f>
        <v>8.7549026666666663</v>
      </c>
      <c r="D32" s="39" t="s">
        <v>31</v>
      </c>
      <c r="E32" s="17"/>
      <c r="F32" s="17"/>
      <c r="G32" s="17"/>
      <c r="H32" s="17"/>
      <c r="I32" s="17"/>
      <c r="J32" s="17"/>
      <c r="K32" s="17"/>
    </row>
    <row r="33" spans="1:15" ht="13.5" thickTop="1" x14ac:dyDescent="0.2">
      <c r="E33" s="32"/>
      <c r="F33" s="17"/>
      <c r="G33" s="17"/>
      <c r="H33" s="17"/>
      <c r="I33" s="17"/>
      <c r="J33" s="17"/>
      <c r="K33" s="17"/>
    </row>
    <row r="34" spans="1:15" x14ac:dyDescent="0.2">
      <c r="E34" s="17"/>
      <c r="F34" s="17"/>
      <c r="G34" s="17"/>
      <c r="H34" s="17"/>
      <c r="I34" s="17"/>
      <c r="J34" s="17"/>
      <c r="K34" s="17"/>
    </row>
    <row r="35" spans="1:15" x14ac:dyDescent="0.2">
      <c r="E35" s="17"/>
      <c r="F35" s="62"/>
      <c r="G35" s="62"/>
      <c r="H35" s="62"/>
      <c r="I35" s="62"/>
      <c r="J35" s="62"/>
      <c r="K35" s="62"/>
    </row>
    <row r="36" spans="1:15" x14ac:dyDescent="0.2">
      <c r="E36" s="17"/>
      <c r="F36" s="44"/>
      <c r="G36" s="44"/>
      <c r="H36" s="44"/>
      <c r="I36" s="44"/>
      <c r="J36" s="44"/>
      <c r="K36" s="44"/>
    </row>
    <row r="37" spans="1:15" s="44" customFormat="1" ht="33.200000000000003" customHeight="1" x14ac:dyDescent="0.2">
      <c r="A37" s="61"/>
      <c r="B37" s="62"/>
      <c r="C37" s="62"/>
      <c r="D37" s="62"/>
      <c r="E37" s="62"/>
      <c r="F37" s="5"/>
      <c r="G37" s="5"/>
      <c r="H37" s="5"/>
      <c r="I37" s="5"/>
      <c r="J37" s="5"/>
      <c r="K37" s="5"/>
      <c r="L37" s="62"/>
      <c r="M37" s="62"/>
      <c r="N37" s="62"/>
      <c r="O37" s="62"/>
    </row>
    <row r="38" spans="1:15" s="44" customFormat="1" ht="33.200000000000003" customHeight="1" x14ac:dyDescent="0.2">
      <c r="A38" s="45"/>
      <c r="F38" s="5"/>
      <c r="G38" s="5"/>
      <c r="H38" s="5"/>
      <c r="I38" s="5"/>
      <c r="J38" s="5"/>
      <c r="K38" s="5"/>
      <c r="N38" s="50"/>
      <c r="O38" s="50"/>
    </row>
    <row r="40" spans="1:15" x14ac:dyDescent="0.2">
      <c r="A40" s="40"/>
    </row>
  </sheetData>
  <sheetProtection password="AFA5" sheet="1" objects="1" scenarios="1" selectLockedCells="1" selectUnlockedCells="1"/>
  <pageMargins left="0.74803149606299213" right="0.74803149606299213" top="0.98425196850393704" bottom="0.98425196850393704" header="0.51181102362204722" footer="0.51181102362204722"/>
  <pageSetup paperSize="9" scale="68"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zoomScale="85" zoomScaleNormal="85" workbookViewId="0">
      <selection activeCell="C24" sqref="C24"/>
    </sheetView>
  </sheetViews>
  <sheetFormatPr defaultColWidth="11.5703125" defaultRowHeight="12.75" outlineLevelRow="1" outlineLevelCol="1" x14ac:dyDescent="0.2"/>
  <cols>
    <col min="1" max="1" width="79.5703125" style="5" customWidth="1"/>
    <col min="2" max="2" width="3.5703125" style="5" customWidth="1"/>
    <col min="3" max="3" width="14.5703125" style="5" customWidth="1"/>
    <col min="4" max="4" width="12" style="5" bestFit="1" customWidth="1"/>
    <col min="5" max="5" width="16.42578125" style="5" hidden="1" customWidth="1" outlineLevel="1"/>
    <col min="6" max="6" width="33" style="5" hidden="1" customWidth="1" outlineLevel="1"/>
    <col min="7" max="11" width="11.5703125" style="5" hidden="1" customWidth="1" outlineLevel="1"/>
    <col min="12" max="12" width="16.42578125" style="5" customWidth="1" collapsed="1"/>
    <col min="13" max="13" width="16.7109375" style="5" customWidth="1"/>
    <col min="14" max="16384" width="11.5703125" style="5"/>
  </cols>
  <sheetData>
    <row r="1" spans="1:11" ht="18" x14ac:dyDescent="0.25">
      <c r="A1" s="4" t="s">
        <v>78</v>
      </c>
    </row>
    <row r="3" spans="1:11" s="17" customFormat="1" hidden="1" outlineLevel="1" x14ac:dyDescent="0.2">
      <c r="E3" s="16" t="s">
        <v>0</v>
      </c>
      <c r="G3" s="18" t="s">
        <v>1</v>
      </c>
      <c r="H3" s="18" t="s">
        <v>1</v>
      </c>
      <c r="I3" s="18" t="s">
        <v>1</v>
      </c>
      <c r="J3" s="18" t="s">
        <v>1</v>
      </c>
      <c r="K3" s="18" t="s">
        <v>1</v>
      </c>
    </row>
    <row r="4" spans="1:11" s="17" customFormat="1" hidden="1" outlineLevel="1" x14ac:dyDescent="0.2">
      <c r="A4" s="34"/>
      <c r="G4" s="19">
        <v>30</v>
      </c>
      <c r="H4" s="19">
        <v>100</v>
      </c>
      <c r="I4" s="19">
        <v>300</v>
      </c>
      <c r="J4" s="19">
        <v>1000</v>
      </c>
      <c r="K4" s="19">
        <v>10000</v>
      </c>
    </row>
    <row r="5" spans="1:11" s="17" customFormat="1" hidden="1" outlineLevel="1" x14ac:dyDescent="0.2">
      <c r="F5" s="16" t="s">
        <v>41</v>
      </c>
      <c r="G5" s="20">
        <v>26.5</v>
      </c>
      <c r="H5" s="20">
        <v>17.8</v>
      </c>
      <c r="I5" s="20">
        <v>12.2</v>
      </c>
      <c r="J5" s="20">
        <v>8.9</v>
      </c>
      <c r="K5" s="20">
        <v>6.6</v>
      </c>
    </row>
    <row r="6" spans="1:11" s="17" customFormat="1" hidden="1" outlineLevel="1" x14ac:dyDescent="0.2">
      <c r="F6" s="21"/>
      <c r="G6" s="22"/>
      <c r="H6" s="22"/>
    </row>
    <row r="7" spans="1:11" collapsed="1" x14ac:dyDescent="0.2">
      <c r="A7" s="6" t="s">
        <v>21</v>
      </c>
      <c r="C7" s="7">
        <f>C8/C9</f>
        <v>5707.7625570776254</v>
      </c>
      <c r="D7" s="5" t="s">
        <v>17</v>
      </c>
      <c r="E7" s="17"/>
      <c r="F7" s="22"/>
      <c r="G7" s="23"/>
      <c r="H7" s="22"/>
      <c r="I7" s="17"/>
      <c r="J7" s="17"/>
      <c r="K7" s="17"/>
    </row>
    <row r="8" spans="1:11" x14ac:dyDescent="0.2">
      <c r="A8" s="5" t="s">
        <v>22</v>
      </c>
      <c r="C8" s="47">
        <f>'Berechnung KEV - KWK'!C15</f>
        <v>50000000</v>
      </c>
      <c r="D8" s="5" t="s">
        <v>16</v>
      </c>
      <c r="E8" s="17"/>
      <c r="F8" s="22"/>
      <c r="G8" s="24"/>
      <c r="H8" s="22"/>
      <c r="I8" s="17"/>
      <c r="J8" s="17"/>
      <c r="K8" s="17"/>
    </row>
    <row r="9" spans="1:11" x14ac:dyDescent="0.2">
      <c r="A9" s="5" t="s">
        <v>23</v>
      </c>
      <c r="C9" s="47">
        <f>'Berechnung KEV - KWK'!C16</f>
        <v>8760</v>
      </c>
      <c r="D9" s="5" t="s">
        <v>18</v>
      </c>
      <c r="E9" s="17"/>
      <c r="F9" s="22"/>
      <c r="G9" s="22"/>
      <c r="H9" s="22"/>
      <c r="I9" s="17"/>
      <c r="J9" s="17"/>
      <c r="K9" s="17"/>
    </row>
    <row r="10" spans="1:11" x14ac:dyDescent="0.2">
      <c r="A10" s="5" t="s">
        <v>24</v>
      </c>
      <c r="C10" s="47">
        <f>'Berechnung KEV - KWK'!C17</f>
        <v>180</v>
      </c>
      <c r="D10" s="5" t="s">
        <v>19</v>
      </c>
      <c r="E10" s="17"/>
      <c r="F10" s="22"/>
      <c r="G10" s="22"/>
      <c r="H10" s="22"/>
      <c r="I10" s="17"/>
      <c r="J10" s="17"/>
      <c r="K10" s="17"/>
    </row>
    <row r="11" spans="1:11" x14ac:dyDescent="0.2">
      <c r="A11" s="5" t="s">
        <v>25</v>
      </c>
      <c r="C11" s="47">
        <f>'Berechnung KEV - KWK'!C18</f>
        <v>2250000</v>
      </c>
      <c r="D11" s="5" t="s">
        <v>20</v>
      </c>
      <c r="E11" s="17"/>
      <c r="F11" s="22"/>
      <c r="G11" s="22"/>
      <c r="H11" s="22"/>
      <c r="I11" s="17"/>
      <c r="J11" s="17"/>
      <c r="K11" s="17"/>
    </row>
    <row r="12" spans="1:11" x14ac:dyDescent="0.2">
      <c r="A12" s="5" t="s">
        <v>26</v>
      </c>
      <c r="C12" s="47">
        <f>'Berechnung KEV - KWK'!C19</f>
        <v>600000</v>
      </c>
      <c r="D12" s="5" t="s">
        <v>20</v>
      </c>
      <c r="E12" s="17"/>
      <c r="F12" s="25"/>
      <c r="G12" s="22"/>
      <c r="H12" s="22"/>
      <c r="I12" s="22"/>
      <c r="J12" s="22"/>
      <c r="K12" s="22"/>
    </row>
    <row r="13" spans="1:11" s="8" customFormat="1" x14ac:dyDescent="0.2">
      <c r="D13" s="9"/>
      <c r="E13" s="22"/>
      <c r="F13" s="23"/>
      <c r="G13" s="22"/>
      <c r="H13" s="22"/>
      <c r="I13" s="22"/>
      <c r="J13" s="22"/>
      <c r="K13" s="22"/>
    </row>
    <row r="14" spans="1:11" s="22" customFormat="1" hidden="1" outlineLevel="1" x14ac:dyDescent="0.2">
      <c r="A14" s="33" t="s">
        <v>3</v>
      </c>
      <c r="G14" s="24"/>
    </row>
    <row r="15" spans="1:11" s="22" customFormat="1" hidden="1" outlineLevel="1" x14ac:dyDescent="0.2">
      <c r="A15" s="22" t="s">
        <v>4</v>
      </c>
      <c r="D15" s="24"/>
      <c r="G15" s="23"/>
    </row>
    <row r="16" spans="1:11" s="22" customFormat="1" hidden="1" outlineLevel="1" x14ac:dyDescent="0.2">
      <c r="F16" s="26"/>
      <c r="G16" s="27" t="s">
        <v>1</v>
      </c>
      <c r="H16" s="27" t="s">
        <v>1</v>
      </c>
      <c r="I16" s="27" t="s">
        <v>1</v>
      </c>
      <c r="J16" s="27" t="s">
        <v>1</v>
      </c>
      <c r="K16" s="27" t="s">
        <v>6</v>
      </c>
    </row>
    <row r="17" spans="1:12" s="17" customFormat="1" hidden="1" outlineLevel="1" x14ac:dyDescent="0.2">
      <c r="A17" s="34" t="s">
        <v>5</v>
      </c>
      <c r="F17" s="26" t="s">
        <v>2</v>
      </c>
      <c r="G17" s="28">
        <v>5</v>
      </c>
      <c r="H17" s="28">
        <v>10</v>
      </c>
      <c r="I17" s="28">
        <v>20</v>
      </c>
      <c r="J17" s="28">
        <v>50</v>
      </c>
      <c r="K17" s="28">
        <v>50</v>
      </c>
    </row>
    <row r="18" spans="1:12" s="17" customFormat="1" hidden="1" outlineLevel="1" x14ac:dyDescent="0.2">
      <c r="F18" s="26" t="s">
        <v>43</v>
      </c>
      <c r="G18" s="29">
        <v>5.0999999999999996</v>
      </c>
      <c r="H18" s="29">
        <v>3</v>
      </c>
      <c r="I18" s="29">
        <v>2.2000000000000002</v>
      </c>
      <c r="J18" s="29">
        <v>1.7</v>
      </c>
      <c r="K18" s="29">
        <v>1.1000000000000001</v>
      </c>
    </row>
    <row r="19" spans="1:12" s="17" customFormat="1" hidden="1" outlineLevel="1" x14ac:dyDescent="0.2">
      <c r="A19" s="17" t="s">
        <v>7</v>
      </c>
      <c r="F19" s="22"/>
      <c r="G19" s="22"/>
      <c r="H19" s="22"/>
      <c r="I19" s="22"/>
      <c r="J19" s="22"/>
      <c r="K19" s="22"/>
    </row>
    <row r="20" spans="1:12" s="17" customFormat="1" hidden="1" outlineLevel="1" x14ac:dyDescent="0.2">
      <c r="F20" s="26" t="s">
        <v>9</v>
      </c>
      <c r="G20" s="30">
        <v>30</v>
      </c>
      <c r="H20" s="30">
        <v>100</v>
      </c>
      <c r="I20" s="30">
        <v>300</v>
      </c>
      <c r="J20" s="30">
        <v>1000</v>
      </c>
      <c r="K20" s="30">
        <v>10000</v>
      </c>
      <c r="L20" s="22"/>
    </row>
    <row r="21" spans="1:12" s="17" customFormat="1" hidden="1" outlineLevel="1" x14ac:dyDescent="0.2">
      <c r="F21" s="26" t="s">
        <v>44</v>
      </c>
      <c r="G21" s="31">
        <v>5.6</v>
      </c>
      <c r="H21" s="31">
        <v>4</v>
      </c>
      <c r="I21" s="31">
        <v>2.6</v>
      </c>
      <c r="J21" s="31">
        <v>1.4</v>
      </c>
      <c r="K21" s="31">
        <v>1.4</v>
      </c>
      <c r="L21" s="22"/>
    </row>
    <row r="22" spans="1:12" s="17" customFormat="1" hidden="1" outlineLevel="1" x14ac:dyDescent="0.2">
      <c r="A22" s="17" t="s">
        <v>10</v>
      </c>
    </row>
    <row r="23" spans="1:12" s="17" customFormat="1" hidden="1" outlineLevel="1" x14ac:dyDescent="0.2">
      <c r="D23" s="35"/>
      <c r="F23" s="22"/>
    </row>
    <row r="24" spans="1:12" hidden="1" outlineLevel="1" x14ac:dyDescent="0.2">
      <c r="A24" s="5" t="s">
        <v>12</v>
      </c>
      <c r="B24" s="5" t="s">
        <v>13</v>
      </c>
      <c r="C24" s="10">
        <f>IF((C12/C11)&lt;0.2,0,IF((C12/C11)&gt;0.5,1,((C12/C11)-0.2)/0.3))*IF(C7&lt;=G20,HLOOKUP(G20,neubau,2),IF(C7&lt;=H20,(G20*HLOOKUP(G20,neubau,2)+(C7-G20)*HLOOKUP(H20,neubau,2))/C7,IF(C7&lt;=I20,(G20*HLOOKUP(G20,neubau,2)+(H20-G20)*HLOOKUP(H20,neubau,2)+(C7-G20-(H20-G20))*HLOOKUP(I20,neubau,2))/C7,IF(C7&lt;=J20,(G20*HLOOKUP(G20,neubau,2)+(H20-G20)*HLOOKUP(H20,neubau,2)+(I20-H20)*HLOOKUP(I20,neubau,2)+(C7-G20-(H20-G20)-(I20-H20))*HLOOKUP(J20,neubau,2))/C7,IF(C7&lt;=K20,(G20*HLOOKUP(G20,neubau,2)+(H20-G20)*HLOOKUP(H20,neubau,2)+(I20-H20)*HLOOKUP(I20,neubau,2)+(J20-I20)*HLOOKUP(J20,neubau,2)+(C7-(H20-G20)-(I20-H20)-(J20-I20))*HLOOKUP(K20,neubau,2))/C7,0)))))</f>
        <v>0.3340817777777777</v>
      </c>
      <c r="D24" s="3">
        <f>IF((C12/C11)&lt;0.2,0,IF((C12/C11)&gt;0.5,1,((C12/C11)-0.2)/0.3))*IF(C7&lt;=10,HLOOKUP(10,neubau,2),IF(C7&lt;=50,HLOOKUP(50,neubau,2),IF(C7&lt;=300,HLOOKUP(300,neubau,2),IF(C7&lt;=1000,HLOOKUP(1000,neubau,2),IF(C7&lt;=10000,HLOOKUP(10000,neubau,2))))))</f>
        <v>0.31111111111111106</v>
      </c>
      <c r="E24" s="17"/>
      <c r="F24" s="17"/>
      <c r="G24" s="17"/>
      <c r="H24" s="17"/>
      <c r="I24" s="17"/>
      <c r="J24" s="17"/>
      <c r="K24" s="17"/>
    </row>
    <row r="25" spans="1:12" hidden="1" outlineLevel="1" x14ac:dyDescent="0.2">
      <c r="B25" s="5" t="s">
        <v>14</v>
      </c>
      <c r="C25" s="10">
        <f>IF(C$10-G$17&lt;=0,G18,IF(C$10-H$17&lt;=0,(G$17*G18+(C$10-G$17)*H18)/C$10,IF(C$10-I$17&lt;=0,(G$17*G18+(H$17-$G17)*H18+(C$10-H$17)*I18)/C$10,IF(C$10-J$17&lt;=0,(G$17*G18+(H$17-G$17)*H18+(I$17-H$17)*I18+(C$10-I$17)*J18)/C$10,IF(C$10-J$17&gt;0,(G$17*G18+(H$17-G$17)*H18+(I$17-H$17)*I18+(J$17-I$17)*J18+(C10-J$17)*K18)/C$10,"Fehler")))))</f>
        <v>1.425</v>
      </c>
      <c r="D25" s="3"/>
      <c r="E25" s="17"/>
      <c r="F25" s="17"/>
      <c r="G25" s="17"/>
      <c r="H25" s="17"/>
      <c r="I25" s="17"/>
      <c r="J25" s="17"/>
      <c r="K25" s="17"/>
    </row>
    <row r="26" spans="1:12" hidden="1" outlineLevel="1" x14ac:dyDescent="0.2">
      <c r="A26" s="8"/>
      <c r="B26" s="8"/>
      <c r="C26" s="11"/>
      <c r="D26" s="3"/>
      <c r="E26" s="22"/>
      <c r="F26" s="17"/>
      <c r="G26" s="17"/>
      <c r="H26" s="17"/>
      <c r="I26" s="17"/>
      <c r="J26" s="17"/>
      <c r="K26" s="17"/>
    </row>
    <row r="27" spans="1:12" collapsed="1" x14ac:dyDescent="0.2">
      <c r="E27" s="17"/>
      <c r="F27" s="17"/>
      <c r="G27" s="17"/>
      <c r="H27" s="17"/>
      <c r="I27" s="17"/>
      <c r="J27" s="17"/>
      <c r="K27" s="17"/>
    </row>
    <row r="28" spans="1:12" x14ac:dyDescent="0.2">
      <c r="A28" s="6" t="s">
        <v>27</v>
      </c>
      <c r="E28" s="17"/>
      <c r="F28" s="17"/>
      <c r="G28" s="17"/>
      <c r="H28" s="17"/>
      <c r="I28" s="17"/>
      <c r="J28" s="17"/>
      <c r="K28" s="17"/>
    </row>
    <row r="29" spans="1:12" x14ac:dyDescent="0.2">
      <c r="A29" s="5" t="s">
        <v>28</v>
      </c>
      <c r="C29" s="12">
        <f>IF(C7-G4&lt;=0,G5,IF(C7-H4&lt;=0,(G5*G4+(C7-G4)*H5)/C7,IF(C7-I4&lt;=0,(G5*G4+H5*(H4-G4)+(C7-H4)*I5)/C7,IF(C7-J4&lt;=0,(G5*G4+H5*(H4-G4)+I5*(I4-H4)+(C7-I4)*J5)/C7,IF(C7-K4&lt;=0,(G5*G4+H5*(H4-G4)+I5*(I4-H4)+J5*(J4-I4)+(C7-J4)*K5)/C7,0)))))</f>
        <v>7.3202471999999998</v>
      </c>
      <c r="D29" s="13" t="s">
        <v>31</v>
      </c>
      <c r="E29" s="17"/>
      <c r="F29" s="17"/>
      <c r="G29" s="17"/>
      <c r="H29" s="17"/>
      <c r="I29" s="17"/>
      <c r="J29" s="17"/>
      <c r="K29" s="17"/>
    </row>
    <row r="30" spans="1:12" x14ac:dyDescent="0.2">
      <c r="A30" s="5" t="s">
        <v>29</v>
      </c>
      <c r="C30" s="12">
        <f>C25</f>
        <v>1.425</v>
      </c>
      <c r="D30" s="5" t="s">
        <v>31</v>
      </c>
      <c r="E30" s="17"/>
      <c r="F30" s="17"/>
      <c r="G30" s="17"/>
      <c r="H30" s="17"/>
      <c r="I30" s="17"/>
      <c r="J30" s="17"/>
      <c r="K30" s="17"/>
    </row>
    <row r="31" spans="1:12" x14ac:dyDescent="0.2">
      <c r="A31" s="36" t="s">
        <v>30</v>
      </c>
      <c r="C31" s="12">
        <f>C24</f>
        <v>0.3340817777777777</v>
      </c>
      <c r="D31" s="5" t="s">
        <v>31</v>
      </c>
      <c r="E31" s="17"/>
      <c r="F31" s="17"/>
      <c r="G31" s="17"/>
      <c r="H31" s="17"/>
      <c r="I31" s="17"/>
      <c r="J31" s="17"/>
      <c r="K31" s="17"/>
    </row>
    <row r="32" spans="1:12" ht="21.2" customHeight="1" thickBot="1" x14ac:dyDescent="0.25">
      <c r="A32" s="38" t="s">
        <v>15</v>
      </c>
      <c r="B32" s="38"/>
      <c r="C32" s="37">
        <f>IF(C7&lt;10000,IF(SUM(C29:C31)&gt;38,38,SUM(C29:C31)),0)</f>
        <v>9.0793289777777773</v>
      </c>
      <c r="D32" s="39" t="s">
        <v>31</v>
      </c>
      <c r="E32" s="17"/>
      <c r="F32" s="17"/>
      <c r="G32" s="17"/>
      <c r="H32" s="17"/>
      <c r="I32" s="17"/>
      <c r="J32" s="17"/>
      <c r="K32" s="17"/>
    </row>
    <row r="33" spans="1:15" ht="13.5" thickTop="1" x14ac:dyDescent="0.2">
      <c r="E33" s="32"/>
      <c r="F33" s="17"/>
      <c r="G33" s="17"/>
      <c r="H33" s="17"/>
      <c r="I33" s="17"/>
      <c r="J33" s="17"/>
      <c r="K33" s="17"/>
    </row>
    <row r="34" spans="1:15" x14ac:dyDescent="0.2">
      <c r="E34" s="17"/>
      <c r="F34" s="17"/>
      <c r="G34" s="17"/>
      <c r="H34" s="17"/>
      <c r="I34" s="17"/>
      <c r="J34" s="17"/>
      <c r="K34" s="17"/>
    </row>
    <row r="35" spans="1:15" x14ac:dyDescent="0.2">
      <c r="E35" s="17"/>
      <c r="F35" s="62"/>
      <c r="G35" s="62"/>
      <c r="H35" s="62"/>
      <c r="I35" s="62"/>
      <c r="J35" s="62"/>
      <c r="K35" s="62"/>
    </row>
    <row r="36" spans="1:15" x14ac:dyDescent="0.2">
      <c r="E36" s="17"/>
      <c r="F36" s="44"/>
      <c r="G36" s="44"/>
      <c r="H36" s="44"/>
      <c r="I36" s="44"/>
      <c r="J36" s="44"/>
      <c r="K36" s="44"/>
    </row>
    <row r="37" spans="1:15" s="44" customFormat="1" ht="33.200000000000003" customHeight="1" x14ac:dyDescent="0.2">
      <c r="A37" s="61"/>
      <c r="B37" s="62"/>
      <c r="C37" s="62"/>
      <c r="D37" s="62"/>
      <c r="E37" s="62"/>
      <c r="F37" s="5"/>
      <c r="G37" s="5"/>
      <c r="H37" s="5"/>
      <c r="I37" s="5"/>
      <c r="J37" s="5"/>
      <c r="K37" s="5"/>
      <c r="L37" s="62"/>
      <c r="M37" s="62"/>
      <c r="N37" s="62"/>
      <c r="O37" s="62"/>
    </row>
    <row r="38" spans="1:15" s="44" customFormat="1" ht="33.200000000000003" customHeight="1" x14ac:dyDescent="0.2">
      <c r="A38" s="45"/>
      <c r="F38" s="5"/>
      <c r="G38" s="5"/>
      <c r="H38" s="5"/>
      <c r="I38" s="5"/>
      <c r="J38" s="5"/>
      <c r="K38" s="5"/>
      <c r="N38" s="50"/>
      <c r="O38" s="50"/>
    </row>
    <row r="40" spans="1:15" x14ac:dyDescent="0.2">
      <c r="A40" s="40"/>
    </row>
  </sheetData>
  <sheetProtection password="AFA5" sheet="1" objects="1" scenarios="1" selectLockedCells="1" selectUnlockedCells="1"/>
  <pageMargins left="0.74803149606299213" right="0.74803149606299213" top="0.98425196850393704" bottom="0.98425196850393704" header="0.51181102362204722" footer="0.51181102362204722"/>
  <pageSetup paperSize="9" scale="68"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zoomScale="85" zoomScaleNormal="85" workbookViewId="0">
      <selection activeCell="A6" sqref="A6:XFD6"/>
    </sheetView>
  </sheetViews>
  <sheetFormatPr defaultColWidth="11.5703125" defaultRowHeight="12.75" outlineLevelRow="1" outlineLevelCol="1" x14ac:dyDescent="0.2"/>
  <cols>
    <col min="1" max="1" width="79.5703125" style="5" customWidth="1"/>
    <col min="2" max="2" width="3.5703125" style="5" customWidth="1"/>
    <col min="3" max="3" width="14.5703125" style="5" customWidth="1"/>
    <col min="4" max="4" width="12" style="5" bestFit="1" customWidth="1"/>
    <col min="5" max="5" width="16.42578125" style="5" hidden="1" customWidth="1" outlineLevel="1"/>
    <col min="6" max="6" width="33" style="5" hidden="1" customWidth="1" outlineLevel="1"/>
    <col min="7" max="11" width="11.5703125" style="5" hidden="1" customWidth="1" outlineLevel="1"/>
    <col min="12" max="12" width="16.42578125" style="5" customWidth="1" collapsed="1"/>
    <col min="13" max="13" width="16.7109375" style="5" customWidth="1"/>
    <col min="14" max="16384" width="11.5703125" style="5"/>
  </cols>
  <sheetData>
    <row r="1" spans="1:11" ht="18" x14ac:dyDescent="0.25">
      <c r="A1" s="4" t="s">
        <v>34</v>
      </c>
    </row>
    <row r="3" spans="1:11" s="17" customFormat="1" hidden="1" outlineLevel="1" x14ac:dyDescent="0.2">
      <c r="E3" s="16" t="s">
        <v>0</v>
      </c>
      <c r="G3" s="18" t="s">
        <v>1</v>
      </c>
      <c r="H3" s="18" t="s">
        <v>1</v>
      </c>
      <c r="I3" s="18" t="s">
        <v>1</v>
      </c>
      <c r="J3" s="18" t="s">
        <v>1</v>
      </c>
      <c r="K3" s="18" t="s">
        <v>1</v>
      </c>
    </row>
    <row r="4" spans="1:11" s="17" customFormat="1" hidden="1" outlineLevel="1" x14ac:dyDescent="0.2">
      <c r="A4" s="34"/>
      <c r="G4" s="19">
        <v>10</v>
      </c>
      <c r="H4" s="19">
        <v>50</v>
      </c>
      <c r="I4" s="19">
        <v>300</v>
      </c>
      <c r="J4" s="19">
        <v>1000</v>
      </c>
      <c r="K4" s="19">
        <v>10000</v>
      </c>
    </row>
    <row r="5" spans="1:11" s="17" customFormat="1" hidden="1" outlineLevel="1" x14ac:dyDescent="0.2">
      <c r="F5" s="17" t="s">
        <v>42</v>
      </c>
      <c r="G5" s="20">
        <v>16.100000000000001</v>
      </c>
      <c r="H5" s="20">
        <v>16.100000000000001</v>
      </c>
      <c r="I5" s="20">
        <v>16.100000000000001</v>
      </c>
      <c r="J5" s="20">
        <v>10.9</v>
      </c>
      <c r="K5" s="20">
        <v>6.9</v>
      </c>
    </row>
    <row r="6" spans="1:11" s="17" customFormat="1" hidden="1" outlineLevel="1" x14ac:dyDescent="0.2">
      <c r="F6" s="21"/>
      <c r="G6" s="22"/>
      <c r="H6" s="22"/>
    </row>
    <row r="7" spans="1:11" collapsed="1" x14ac:dyDescent="0.2">
      <c r="A7" s="6" t="s">
        <v>21</v>
      </c>
      <c r="C7" s="7">
        <f>C8/C9</f>
        <v>5707.7625570776254</v>
      </c>
      <c r="D7" s="5" t="s">
        <v>17</v>
      </c>
      <c r="E7" s="17"/>
      <c r="F7" s="22"/>
      <c r="G7" s="23"/>
      <c r="H7" s="22"/>
      <c r="I7" s="17"/>
      <c r="J7" s="17"/>
      <c r="K7" s="17"/>
    </row>
    <row r="8" spans="1:11" x14ac:dyDescent="0.2">
      <c r="A8" s="5" t="s">
        <v>22</v>
      </c>
      <c r="C8" s="47">
        <f>'Berechnung KEV - KWK'!C15</f>
        <v>50000000</v>
      </c>
      <c r="D8" s="5" t="s">
        <v>16</v>
      </c>
      <c r="E8" s="17"/>
      <c r="F8" s="22"/>
      <c r="G8" s="24"/>
      <c r="H8" s="22"/>
      <c r="I8" s="17"/>
      <c r="J8" s="17"/>
      <c r="K8" s="17"/>
    </row>
    <row r="9" spans="1:11" x14ac:dyDescent="0.2">
      <c r="A9" s="5" t="s">
        <v>23</v>
      </c>
      <c r="C9" s="47">
        <f>'Berechnung KEV - KWK'!C16</f>
        <v>8760</v>
      </c>
      <c r="D9" s="5" t="s">
        <v>18</v>
      </c>
      <c r="E9" s="17"/>
      <c r="F9" s="22"/>
      <c r="G9" s="22"/>
      <c r="H9" s="22"/>
      <c r="I9" s="17"/>
      <c r="J9" s="17"/>
      <c r="K9" s="17"/>
    </row>
    <row r="10" spans="1:11" x14ac:dyDescent="0.2">
      <c r="A10" s="5" t="s">
        <v>24</v>
      </c>
      <c r="C10" s="47">
        <f>'Berechnung KEV - KWK'!C17</f>
        <v>180</v>
      </c>
      <c r="D10" s="5" t="s">
        <v>19</v>
      </c>
      <c r="E10" s="17"/>
      <c r="F10" s="22"/>
      <c r="G10" s="22"/>
      <c r="H10" s="22"/>
      <c r="I10" s="17"/>
      <c r="J10" s="17"/>
      <c r="K10" s="17"/>
    </row>
    <row r="11" spans="1:11" x14ac:dyDescent="0.2">
      <c r="A11" s="5" t="s">
        <v>25</v>
      </c>
      <c r="C11" s="47">
        <f>'Berechnung KEV - KWK'!C18</f>
        <v>2250000</v>
      </c>
      <c r="D11" s="5" t="s">
        <v>20</v>
      </c>
      <c r="E11" s="17"/>
      <c r="F11" s="22"/>
      <c r="G11" s="22"/>
      <c r="H11" s="22"/>
      <c r="I11" s="17"/>
      <c r="J11" s="17"/>
      <c r="K11" s="17"/>
    </row>
    <row r="12" spans="1:11" x14ac:dyDescent="0.2">
      <c r="A12" s="5" t="s">
        <v>26</v>
      </c>
      <c r="C12" s="47">
        <f>'Berechnung KEV - KWK'!C19</f>
        <v>600000</v>
      </c>
      <c r="D12" s="5" t="s">
        <v>20</v>
      </c>
      <c r="E12" s="17"/>
      <c r="F12" s="25"/>
      <c r="G12" s="22"/>
      <c r="H12" s="22"/>
      <c r="I12" s="22"/>
      <c r="J12" s="22"/>
      <c r="K12" s="22"/>
    </row>
    <row r="13" spans="1:11" s="8" customFormat="1" x14ac:dyDescent="0.2">
      <c r="D13" s="9"/>
      <c r="E13" s="22"/>
      <c r="F13" s="23"/>
      <c r="G13" s="22"/>
      <c r="H13" s="22"/>
      <c r="I13" s="22"/>
      <c r="J13" s="22"/>
      <c r="K13" s="22"/>
    </row>
    <row r="14" spans="1:11" s="22" customFormat="1" hidden="1" outlineLevel="1" x14ac:dyDescent="0.2">
      <c r="A14" s="33" t="s">
        <v>3</v>
      </c>
      <c r="G14" s="24"/>
    </row>
    <row r="15" spans="1:11" s="22" customFormat="1" hidden="1" outlineLevel="1" x14ac:dyDescent="0.2">
      <c r="A15" s="22" t="s">
        <v>4</v>
      </c>
      <c r="D15" s="24"/>
      <c r="G15" s="23"/>
    </row>
    <row r="16" spans="1:11" s="22" customFormat="1" hidden="1" outlineLevel="1" x14ac:dyDescent="0.2">
      <c r="F16" s="26"/>
      <c r="G16" s="27" t="s">
        <v>1</v>
      </c>
      <c r="H16" s="27" t="s">
        <v>1</v>
      </c>
      <c r="I16" s="27" t="s">
        <v>1</v>
      </c>
      <c r="J16" s="27" t="s">
        <v>1</v>
      </c>
      <c r="K16" s="27" t="s">
        <v>6</v>
      </c>
    </row>
    <row r="17" spans="1:12" s="17" customFormat="1" hidden="1" outlineLevel="1" x14ac:dyDescent="0.2">
      <c r="A17" s="34" t="s">
        <v>5</v>
      </c>
      <c r="F17" s="26" t="s">
        <v>2</v>
      </c>
      <c r="G17" s="28">
        <v>5</v>
      </c>
      <c r="H17" s="28">
        <v>10</v>
      </c>
      <c r="I17" s="28">
        <v>20</v>
      </c>
      <c r="J17" s="28">
        <v>50</v>
      </c>
      <c r="K17" s="28">
        <v>50</v>
      </c>
    </row>
    <row r="18" spans="1:12" s="17" customFormat="1" hidden="1" outlineLevel="1" x14ac:dyDescent="0.2">
      <c r="F18" s="26" t="s">
        <v>43</v>
      </c>
      <c r="G18" s="29">
        <v>5.0999999999999996</v>
      </c>
      <c r="H18" s="29">
        <v>3</v>
      </c>
      <c r="I18" s="29">
        <v>2.2000000000000002</v>
      </c>
      <c r="J18" s="29">
        <v>1.7</v>
      </c>
      <c r="K18" s="29">
        <v>1.1000000000000001</v>
      </c>
    </row>
    <row r="19" spans="1:12" s="17" customFormat="1" hidden="1" outlineLevel="1" x14ac:dyDescent="0.2">
      <c r="A19" s="17" t="s">
        <v>7</v>
      </c>
      <c r="F19" s="22"/>
      <c r="G19" s="22"/>
      <c r="H19" s="22"/>
      <c r="I19" s="22"/>
      <c r="J19" s="22"/>
      <c r="K19" s="22"/>
    </row>
    <row r="20" spans="1:12" s="17" customFormat="1" hidden="1" outlineLevel="1" x14ac:dyDescent="0.2">
      <c r="F20" s="26" t="s">
        <v>9</v>
      </c>
      <c r="G20" s="30">
        <v>10</v>
      </c>
      <c r="H20" s="30">
        <v>50</v>
      </c>
      <c r="I20" s="30">
        <v>300</v>
      </c>
      <c r="J20" s="30">
        <v>1000</v>
      </c>
      <c r="K20" s="30">
        <v>10000</v>
      </c>
      <c r="L20" s="22"/>
    </row>
    <row r="21" spans="1:12" s="17" customFormat="1" hidden="1" outlineLevel="1" x14ac:dyDescent="0.2">
      <c r="F21" s="26" t="s">
        <v>44</v>
      </c>
      <c r="G21" s="31">
        <v>3.6</v>
      </c>
      <c r="H21" s="31">
        <v>3.6</v>
      </c>
      <c r="I21" s="31">
        <v>3.6</v>
      </c>
      <c r="J21" s="31">
        <v>2.8</v>
      </c>
      <c r="K21" s="31">
        <v>2.8</v>
      </c>
      <c r="L21" s="22"/>
    </row>
    <row r="22" spans="1:12" s="17" customFormat="1" hidden="1" outlineLevel="1" x14ac:dyDescent="0.2">
      <c r="A22" s="17" t="s">
        <v>10</v>
      </c>
    </row>
    <row r="23" spans="1:12" s="17" customFormat="1" hidden="1" outlineLevel="1" x14ac:dyDescent="0.2">
      <c r="D23" s="35"/>
      <c r="F23" s="22"/>
    </row>
    <row r="24" spans="1:12" hidden="1" outlineLevel="1" x14ac:dyDescent="0.2">
      <c r="A24" s="5" t="s">
        <v>12</v>
      </c>
      <c r="B24" s="5" t="s">
        <v>13</v>
      </c>
      <c r="C24" s="10">
        <f>IF((C12/C11)&lt;0.2,0,IF((C12/C11)&gt;0.5,1,((C12/C11)-0.2)/0.3))*IF(C7&lt;=10,HLOOKUP(10,neubau,2),IF(C7&lt;=50,(10*HLOOKUP(10,neubau,2)+(C7-10)*HLOOKUP(50,neubau,2))/C7,IF(C7&lt;=300,(10*HLOOKUP(10,neubau,2)+40*HLOOKUP(50,neubau,2)+(C7-10-40)*HLOOKUP(300,neubau,2))/C7,IF(C7&lt;=1000,(10*HLOOKUP(10,neubau,2)+40*HLOOKUP(50,neubau,2)+250*HLOOKUP(300,neubau,2)+(C7-10-40-250)*HLOOKUP(1000,neubau,2))/C7,IF(C7&lt;=10000,(10*HLOOKUP(10,neubau,2)+40*HLOOKUP(50,neubau,2)+250*HLOOKUP(300,neubau,2)+700*HLOOKUP(1000,neubau,2)+(C7-10-40-250-700)*HLOOKUP(10000,neubau,2))/C7,0)))))</f>
        <v>0.63156622222222203</v>
      </c>
      <c r="D24" s="3">
        <f>IF((C12/C11)&lt;0.2,0,IF((C12/C11)&gt;0.5,1,((C12/C11)-0.2)/0.3))*IF(C7&lt;=10,HLOOKUP(10,neubau,2),IF(C7&lt;=50,HLOOKUP(50,neubau,2),IF(C7&lt;=300,HLOOKUP(300,neubau,2),IF(C7&lt;=1000,HLOOKUP(1000,neubau,2),IF(C7&lt;=10000,HLOOKUP(10000,neubau,2))))))</f>
        <v>0.62222222222222212</v>
      </c>
      <c r="E24" s="17"/>
      <c r="F24" s="17"/>
      <c r="G24" s="17"/>
      <c r="H24" s="17"/>
      <c r="I24" s="17"/>
      <c r="J24" s="17"/>
      <c r="K24" s="17"/>
    </row>
    <row r="25" spans="1:12" hidden="1" outlineLevel="1" x14ac:dyDescent="0.2">
      <c r="B25" s="5" t="s">
        <v>14</v>
      </c>
      <c r="C25" s="10">
        <f>IF(C$10-G$17&lt;=0,G18,IF(C$10-H$17&lt;=0,(G$17*G18+(C$10-G$17)*H18)/C$10,IF(C$10-I$17&lt;=0,(G$17*G18+(H$17-$G17)*H18+(C$10-H$17)*I18)/C$10,IF(C$10-J$17&lt;=0,(G$17*G18+(H$17-G$17)*H18+(I$17-H$17)*I18+(C$10-I$17)*J18)/C$10,IF(C$10-J$17&gt;0,(G$17*G18+(H$17-G$17)*H18+(I$17-H$17)*I18+(J$17-I$17)*J18+(C10-J$17)*K18)/C$10,"Fehler")))))</f>
        <v>1.425</v>
      </c>
      <c r="D25" s="3"/>
      <c r="E25" s="17"/>
      <c r="F25" s="17"/>
      <c r="G25" s="17"/>
      <c r="H25" s="17"/>
      <c r="I25" s="17"/>
      <c r="J25" s="17"/>
      <c r="K25" s="17"/>
    </row>
    <row r="26" spans="1:12" hidden="1" outlineLevel="1" x14ac:dyDescent="0.2">
      <c r="A26" s="8"/>
      <c r="B26" s="8"/>
      <c r="C26" s="11"/>
      <c r="D26" s="3"/>
      <c r="E26" s="22"/>
      <c r="F26" s="17"/>
      <c r="G26" s="17"/>
      <c r="H26" s="17"/>
      <c r="I26" s="17"/>
      <c r="J26" s="17"/>
      <c r="K26" s="17"/>
    </row>
    <row r="27" spans="1:12" collapsed="1" x14ac:dyDescent="0.2">
      <c r="E27" s="17"/>
      <c r="F27" s="17"/>
      <c r="G27" s="17"/>
      <c r="H27" s="17"/>
      <c r="I27" s="17"/>
      <c r="J27" s="17"/>
      <c r="K27" s="17"/>
    </row>
    <row r="28" spans="1:12" x14ac:dyDescent="0.2">
      <c r="A28" s="6" t="s">
        <v>27</v>
      </c>
      <c r="E28" s="17"/>
      <c r="F28" s="17"/>
      <c r="G28" s="17"/>
      <c r="H28" s="17"/>
      <c r="I28" s="17"/>
      <c r="J28" s="17"/>
      <c r="K28" s="17"/>
    </row>
    <row r="29" spans="1:12" x14ac:dyDescent="0.2">
      <c r="A29" s="5" t="s">
        <v>28</v>
      </c>
      <c r="C29" s="12">
        <f>IF(C7-G4&lt;=0,G5,IF(C7-H4&lt;=0,(G5*G4+(C7-G4)*H5)/C7,IF(C7-I4&lt;=0,(G5*G4+H5*(H4-G4)+(C7-H4)*I5)/C7,IF(C7-J4&lt;=0,(G5*G4+H5*(H4-G4)+I5*(I4-H4)+(C7-I4)*J5)/C7,IF(C7-K4&lt;=0,(G5*G4+H5*(H4-G4)+I5*(I4-H4)+J5*(J4-I4)+(C7-J4)*K5)/C7,0)))))</f>
        <v>7.8741120000000002</v>
      </c>
      <c r="D29" s="13" t="s">
        <v>31</v>
      </c>
      <c r="E29" s="17"/>
      <c r="F29" s="17"/>
      <c r="G29" s="17"/>
      <c r="H29" s="17"/>
      <c r="I29" s="17"/>
      <c r="J29" s="17"/>
      <c r="K29" s="17"/>
    </row>
    <row r="30" spans="1:12" x14ac:dyDescent="0.2">
      <c r="A30" s="5" t="s">
        <v>29</v>
      </c>
      <c r="C30" s="12">
        <f>C25</f>
        <v>1.425</v>
      </c>
      <c r="D30" s="5" t="s">
        <v>31</v>
      </c>
      <c r="E30" s="17"/>
      <c r="F30" s="17"/>
      <c r="G30" s="17"/>
      <c r="H30" s="17"/>
      <c r="I30" s="17"/>
      <c r="J30" s="17"/>
      <c r="K30" s="17"/>
    </row>
    <row r="31" spans="1:12" x14ac:dyDescent="0.2">
      <c r="A31" s="36" t="s">
        <v>30</v>
      </c>
      <c r="C31" s="12">
        <f>C24</f>
        <v>0.63156622222222203</v>
      </c>
      <c r="D31" s="5" t="s">
        <v>31</v>
      </c>
      <c r="E31" s="17"/>
      <c r="F31" s="17"/>
      <c r="G31" s="17"/>
      <c r="H31" s="17"/>
      <c r="I31" s="17"/>
      <c r="J31" s="17"/>
      <c r="K31" s="17"/>
    </row>
    <row r="32" spans="1:12" ht="21.2" customHeight="1" thickBot="1" x14ac:dyDescent="0.25">
      <c r="A32" s="38" t="s">
        <v>15</v>
      </c>
      <c r="B32" s="38"/>
      <c r="C32" s="37">
        <f>IF(C7&lt;10000,IF(SUM(C29:C31)&gt;38,38,SUM(C29:C31)),0)</f>
        <v>9.9306782222222232</v>
      </c>
      <c r="D32" s="39" t="s">
        <v>31</v>
      </c>
      <c r="E32" s="17"/>
      <c r="F32" s="17"/>
      <c r="G32" s="17"/>
      <c r="H32" s="17"/>
      <c r="I32" s="17"/>
      <c r="J32" s="17"/>
      <c r="K32" s="17"/>
    </row>
    <row r="33" spans="1:15" ht="13.5" thickTop="1" x14ac:dyDescent="0.2">
      <c r="E33" s="32"/>
      <c r="F33" s="17"/>
      <c r="G33" s="17"/>
      <c r="H33" s="17"/>
      <c r="I33" s="17"/>
      <c r="J33" s="17"/>
      <c r="K33" s="17"/>
    </row>
    <row r="34" spans="1:15" x14ac:dyDescent="0.2">
      <c r="E34" s="17"/>
      <c r="F34" s="17"/>
      <c r="G34" s="17"/>
      <c r="H34" s="17"/>
      <c r="I34" s="17"/>
      <c r="J34" s="17"/>
      <c r="K34" s="17"/>
    </row>
    <row r="35" spans="1:15" x14ac:dyDescent="0.2">
      <c r="E35" s="17"/>
      <c r="F35" s="62"/>
      <c r="G35" s="62"/>
      <c r="H35" s="62"/>
      <c r="I35" s="62"/>
      <c r="J35" s="62"/>
      <c r="K35" s="62"/>
    </row>
    <row r="36" spans="1:15" x14ac:dyDescent="0.2">
      <c r="E36" s="17"/>
      <c r="F36" s="44"/>
      <c r="G36" s="44"/>
      <c r="H36" s="44"/>
      <c r="I36" s="44"/>
      <c r="J36" s="44"/>
      <c r="K36" s="44"/>
    </row>
    <row r="37" spans="1:15" s="44" customFormat="1" ht="33.200000000000003" customHeight="1" x14ac:dyDescent="0.2">
      <c r="A37" s="61"/>
      <c r="B37" s="62"/>
      <c r="C37" s="62"/>
      <c r="D37" s="62"/>
      <c r="E37" s="62"/>
      <c r="F37" s="5"/>
      <c r="G37" s="5"/>
      <c r="H37" s="5"/>
      <c r="I37" s="5"/>
      <c r="J37" s="5"/>
      <c r="K37" s="5"/>
      <c r="L37" s="62"/>
      <c r="M37" s="62"/>
      <c r="N37" s="62"/>
      <c r="O37" s="62"/>
    </row>
    <row r="38" spans="1:15" s="44" customFormat="1" ht="33.200000000000003" customHeight="1" x14ac:dyDescent="0.2">
      <c r="A38" s="45"/>
      <c r="F38" s="5"/>
      <c r="G38" s="5"/>
      <c r="H38" s="5"/>
      <c r="I38" s="5"/>
      <c r="J38" s="5"/>
      <c r="K38" s="5"/>
      <c r="N38" s="43"/>
      <c r="O38" s="43"/>
    </row>
    <row r="40" spans="1:15" x14ac:dyDescent="0.2">
      <c r="A40" s="40"/>
    </row>
  </sheetData>
  <sheetProtection password="AFA5" sheet="1" objects="1" scenarios="1" selectLockedCells="1" selectUnlockedCells="1"/>
  <pageMargins left="0.74803149606299213" right="0.74803149606299213" top="0.98425196850393704" bottom="0.98425196850393704" header="0.51181102362204722" footer="0.51181102362204722"/>
  <pageSetup paperSize="9" scale="68"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zoomScale="85" zoomScaleNormal="85" workbookViewId="0">
      <selection activeCell="G30" sqref="G30"/>
    </sheetView>
  </sheetViews>
  <sheetFormatPr defaultColWidth="11.5703125" defaultRowHeight="12.75" outlineLevelRow="1" outlineLevelCol="1" x14ac:dyDescent="0.2"/>
  <cols>
    <col min="1" max="1" width="79.5703125" style="5" customWidth="1"/>
    <col min="2" max="2" width="3.5703125" style="5" customWidth="1"/>
    <col min="3" max="3" width="14.5703125" style="5" customWidth="1"/>
    <col min="4" max="4" width="12" style="5" bestFit="1" customWidth="1"/>
    <col min="5" max="5" width="16.42578125" style="5" hidden="1" customWidth="1" outlineLevel="1"/>
    <col min="6" max="6" width="33" style="5" hidden="1" customWidth="1" outlineLevel="1"/>
    <col min="7" max="11" width="11.5703125" style="5" hidden="1" customWidth="1" outlineLevel="1"/>
    <col min="12" max="12" width="16.42578125" style="5" customWidth="1" collapsed="1"/>
    <col min="13" max="13" width="16.7109375" style="5" customWidth="1"/>
    <col min="14" max="16384" width="11.5703125" style="5"/>
  </cols>
  <sheetData>
    <row r="1" spans="1:11" ht="18" x14ac:dyDescent="0.25">
      <c r="A1" s="4" t="s">
        <v>47</v>
      </c>
    </row>
    <row r="3" spans="1:11" s="17" customFormat="1" hidden="1" outlineLevel="1" x14ac:dyDescent="0.2">
      <c r="E3" s="16" t="s">
        <v>0</v>
      </c>
      <c r="G3" s="18" t="s">
        <v>1</v>
      </c>
      <c r="H3" s="18" t="s">
        <v>1</v>
      </c>
      <c r="I3" s="18" t="s">
        <v>1</v>
      </c>
      <c r="J3" s="18" t="s">
        <v>1</v>
      </c>
      <c r="K3" s="18" t="s">
        <v>1</v>
      </c>
    </row>
    <row r="4" spans="1:11" s="17" customFormat="1" hidden="1" outlineLevel="1" x14ac:dyDescent="0.2">
      <c r="A4" s="34"/>
      <c r="G4" s="19">
        <v>10</v>
      </c>
      <c r="H4" s="19">
        <v>50</v>
      </c>
      <c r="I4" s="19">
        <v>300</v>
      </c>
      <c r="J4" s="19">
        <v>1000</v>
      </c>
      <c r="K4" s="19">
        <v>10000</v>
      </c>
    </row>
    <row r="5" spans="1:11" s="17" customFormat="1" hidden="1" outlineLevel="1" x14ac:dyDescent="0.2">
      <c r="F5" s="16" t="s">
        <v>41</v>
      </c>
      <c r="G5" s="20">
        <v>13.9</v>
      </c>
      <c r="H5" s="20">
        <v>13.9</v>
      </c>
      <c r="I5" s="20">
        <v>13.9</v>
      </c>
      <c r="J5" s="20">
        <v>8.9</v>
      </c>
      <c r="K5" s="20">
        <v>6.6</v>
      </c>
    </row>
    <row r="6" spans="1:11" s="17" customFormat="1" hidden="1" outlineLevel="1" x14ac:dyDescent="0.2"/>
    <row r="7" spans="1:11" collapsed="1" x14ac:dyDescent="0.2">
      <c r="A7" s="6" t="s">
        <v>21</v>
      </c>
      <c r="C7" s="7">
        <f>C8/C9</f>
        <v>5707.7625570776254</v>
      </c>
      <c r="D7" s="5" t="s">
        <v>17</v>
      </c>
      <c r="E7" s="17"/>
      <c r="F7" s="21"/>
      <c r="G7" s="22"/>
      <c r="H7" s="22"/>
      <c r="I7" s="17"/>
      <c r="J7" s="17"/>
      <c r="K7" s="17"/>
    </row>
    <row r="8" spans="1:11" x14ac:dyDescent="0.2">
      <c r="A8" s="5" t="s">
        <v>22</v>
      </c>
      <c r="C8" s="47">
        <f>'Berechnung KEV - KWK'!C15</f>
        <v>50000000</v>
      </c>
      <c r="D8" s="5" t="s">
        <v>16</v>
      </c>
      <c r="E8" s="17"/>
      <c r="F8" s="22"/>
      <c r="G8" s="23"/>
      <c r="H8" s="22"/>
      <c r="I8" s="17"/>
      <c r="J8" s="17"/>
      <c r="K8" s="17"/>
    </row>
    <row r="9" spans="1:11" x14ac:dyDescent="0.2">
      <c r="A9" s="5" t="s">
        <v>23</v>
      </c>
      <c r="C9" s="47">
        <f>'Berechnung KEV - KWK'!C16</f>
        <v>8760</v>
      </c>
      <c r="D9" s="5" t="s">
        <v>18</v>
      </c>
      <c r="E9" s="17"/>
      <c r="F9" s="22"/>
      <c r="G9" s="24"/>
      <c r="H9" s="22"/>
      <c r="I9" s="17"/>
      <c r="J9" s="17"/>
      <c r="K9" s="17"/>
    </row>
    <row r="10" spans="1:11" x14ac:dyDescent="0.2">
      <c r="A10" s="5" t="s">
        <v>24</v>
      </c>
      <c r="C10" s="47">
        <f>'Berechnung KEV - KWK'!C17</f>
        <v>180</v>
      </c>
      <c r="D10" s="5" t="s">
        <v>19</v>
      </c>
      <c r="E10" s="17"/>
      <c r="F10" s="22"/>
      <c r="G10" s="22"/>
      <c r="H10" s="22"/>
      <c r="I10" s="17"/>
      <c r="J10" s="17"/>
      <c r="K10" s="17"/>
    </row>
    <row r="11" spans="1:11" x14ac:dyDescent="0.2">
      <c r="A11" s="5" t="s">
        <v>25</v>
      </c>
      <c r="C11" s="47">
        <f>'Berechnung KEV - KWK'!C18</f>
        <v>2250000</v>
      </c>
      <c r="D11" s="5" t="s">
        <v>20</v>
      </c>
      <c r="E11" s="17"/>
      <c r="F11" s="22"/>
      <c r="G11" s="22"/>
      <c r="H11" s="22"/>
      <c r="I11" s="17"/>
      <c r="J11" s="17"/>
      <c r="K11" s="17"/>
    </row>
    <row r="12" spans="1:11" x14ac:dyDescent="0.2">
      <c r="A12" s="5" t="s">
        <v>26</v>
      </c>
      <c r="C12" s="47">
        <f>'Berechnung KEV - KWK'!C19</f>
        <v>600000</v>
      </c>
      <c r="D12" s="5" t="s">
        <v>20</v>
      </c>
      <c r="E12" s="17"/>
      <c r="F12" s="22"/>
      <c r="G12" s="22"/>
      <c r="H12" s="22"/>
      <c r="I12" s="17"/>
      <c r="J12" s="17"/>
      <c r="K12" s="17"/>
    </row>
    <row r="13" spans="1:11" s="8" customFormat="1" x14ac:dyDescent="0.2">
      <c r="D13" s="9"/>
      <c r="E13" s="22"/>
      <c r="F13" s="25"/>
      <c r="G13" s="22"/>
      <c r="H13" s="22"/>
      <c r="I13" s="22"/>
      <c r="J13" s="22"/>
      <c r="K13" s="22"/>
    </row>
    <row r="14" spans="1:11" s="22" customFormat="1" hidden="1" outlineLevel="1" x14ac:dyDescent="0.2">
      <c r="A14" s="33" t="s">
        <v>3</v>
      </c>
      <c r="F14" s="23"/>
    </row>
    <row r="15" spans="1:11" s="22" customFormat="1" hidden="1" outlineLevel="1" x14ac:dyDescent="0.2">
      <c r="A15" s="22" t="s">
        <v>4</v>
      </c>
      <c r="D15" s="24"/>
      <c r="G15" s="23"/>
    </row>
    <row r="16" spans="1:11" s="22" customFormat="1" hidden="1" outlineLevel="1" x14ac:dyDescent="0.2">
      <c r="F16" s="26"/>
      <c r="G16" s="27" t="s">
        <v>1</v>
      </c>
      <c r="H16" s="27" t="s">
        <v>1</v>
      </c>
      <c r="I16" s="27" t="s">
        <v>1</v>
      </c>
      <c r="J16" s="27" t="s">
        <v>1</v>
      </c>
      <c r="K16" s="27" t="s">
        <v>6</v>
      </c>
    </row>
    <row r="17" spans="1:12" s="17" customFormat="1" hidden="1" outlineLevel="1" x14ac:dyDescent="0.2">
      <c r="A17" s="34" t="s">
        <v>5</v>
      </c>
      <c r="F17" s="26" t="s">
        <v>2</v>
      </c>
      <c r="G17" s="28">
        <v>5</v>
      </c>
      <c r="H17" s="28">
        <v>10</v>
      </c>
      <c r="I17" s="28">
        <v>20</v>
      </c>
      <c r="J17" s="28">
        <v>50</v>
      </c>
      <c r="K17" s="28">
        <v>50</v>
      </c>
    </row>
    <row r="18" spans="1:12" s="17" customFormat="1" hidden="1" outlineLevel="1" x14ac:dyDescent="0.2">
      <c r="F18" s="26" t="s">
        <v>43</v>
      </c>
      <c r="G18" s="29">
        <v>5.0999999999999996</v>
      </c>
      <c r="H18" s="29">
        <v>3</v>
      </c>
      <c r="I18" s="29">
        <v>2.2000000000000002</v>
      </c>
      <c r="J18" s="29">
        <v>1.7</v>
      </c>
      <c r="K18" s="29">
        <v>1.1000000000000001</v>
      </c>
    </row>
    <row r="19" spans="1:12" s="17" customFormat="1" hidden="1" outlineLevel="1" x14ac:dyDescent="0.2">
      <c r="A19" s="17" t="s">
        <v>7</v>
      </c>
      <c r="F19" s="22"/>
      <c r="G19" s="22"/>
      <c r="H19" s="22"/>
      <c r="I19" s="22"/>
      <c r="J19" s="22"/>
      <c r="K19" s="22"/>
    </row>
    <row r="20" spans="1:12" s="17" customFormat="1" hidden="1" outlineLevel="1" x14ac:dyDescent="0.2">
      <c r="F20" s="26" t="s">
        <v>9</v>
      </c>
      <c r="G20" s="30">
        <v>10</v>
      </c>
      <c r="H20" s="30">
        <v>50</v>
      </c>
      <c r="I20" s="30">
        <v>300</v>
      </c>
      <c r="J20" s="30">
        <v>1000</v>
      </c>
      <c r="K20" s="30">
        <v>10000</v>
      </c>
      <c r="L20" s="22"/>
    </row>
    <row r="21" spans="1:12" s="17" customFormat="1" hidden="1" outlineLevel="1" x14ac:dyDescent="0.2">
      <c r="F21" s="26" t="s">
        <v>44</v>
      </c>
      <c r="G21" s="31">
        <v>3.1</v>
      </c>
      <c r="H21" s="31">
        <v>3.1</v>
      </c>
      <c r="I21" s="31">
        <v>3.1</v>
      </c>
      <c r="J21" s="31">
        <v>1.4</v>
      </c>
      <c r="K21" s="31">
        <v>1.4</v>
      </c>
      <c r="L21" s="22"/>
    </row>
    <row r="22" spans="1:12" s="17" customFormat="1" hidden="1" outlineLevel="1" x14ac:dyDescent="0.2">
      <c r="A22" s="17" t="s">
        <v>10</v>
      </c>
      <c r="F22" s="5"/>
      <c r="G22" s="5"/>
      <c r="H22" s="5"/>
      <c r="I22" s="5"/>
      <c r="J22" s="5"/>
      <c r="K22" s="5"/>
    </row>
    <row r="23" spans="1:12" s="17" customFormat="1" hidden="1" outlineLevel="1" x14ac:dyDescent="0.2">
      <c r="D23" s="35"/>
    </row>
    <row r="24" spans="1:12" hidden="1" outlineLevel="1" x14ac:dyDescent="0.2">
      <c r="A24" s="5" t="s">
        <v>12</v>
      </c>
      <c r="B24" s="5" t="s">
        <v>13</v>
      </c>
      <c r="C24" s="10">
        <f>IF((C12/C11)&lt;0.2,0,IF((C12/C11)&gt;0.5,1,((C12/C11)-0.2)/0.3))*IF(C7&lt;=10,HLOOKUP(10,neubau,2),IF(C7&lt;=50,(10*HLOOKUP(10,neubau,2)+(C7-10)*HLOOKUP(50,neubau,2))/C7,IF(C7&lt;=300,(10*HLOOKUP(10,neubau,2)+40*HLOOKUP(50,neubau,2)+(C7-10-40)*HLOOKUP(300,neubau,2))/C7,IF(C7&lt;=1000,(10*HLOOKUP(10,neubau,2)+40*HLOOKUP(50,neubau,2)+250*HLOOKUP(300,neubau,2)+(C7-10-40-250)*HLOOKUP(1000,neubau,2))/C7,IF(C7&lt;=10000,(10*HLOOKUP(10,neubau,2)+40*HLOOKUP(50,neubau,2)+250*HLOOKUP(300,neubau,2)+700*HLOOKUP(1000,neubau,2)+(C7-10-40-250-700)*HLOOKUP(10000,neubau,2))/C7,0)))))</f>
        <v>0.33096711111111099</v>
      </c>
      <c r="D24" s="3">
        <f>IF((C12/C11)&lt;0.2,0,IF((C12/C11)&gt;0.5,1,((C12/C11)-0.2)/0.3))*IF(C7&lt;=10,HLOOKUP(10,neubau,2),IF(C7&lt;=50,HLOOKUP(50,neubau,2),IF(C7&lt;=300,HLOOKUP(300,neubau,2),IF(C7&lt;=1000,HLOOKUP(1000,neubau,2),IF(C7&lt;=10000,HLOOKUP(10000,neubau,2))))))</f>
        <v>0.31111111111111106</v>
      </c>
      <c r="E24" s="17"/>
      <c r="F24" s="22"/>
      <c r="G24" s="17"/>
      <c r="H24" s="17"/>
      <c r="I24" s="17"/>
      <c r="J24" s="17"/>
      <c r="K24" s="17"/>
    </row>
    <row r="25" spans="1:12" hidden="1" outlineLevel="1" x14ac:dyDescent="0.2">
      <c r="B25" s="5" t="s">
        <v>14</v>
      </c>
      <c r="C25" s="10">
        <f>IF(C$10-G$17&lt;=0,G18,IF(C$10-H$17&lt;=0,(G$17*G18+(C$10-G$17)*H18)/C$10,IF(C$10-I$17&lt;=0,(G$17*G18+(H$17-$G17)*H18+(C$10-H$17)*I18)/C$10,IF(C$10-J$17&lt;=0,(G$17*G18+(H$17-G$17)*H18+(I$17-H$17)*I18+(C$10-I$17)*J18)/C$10,IF(C$10-J$17&gt;0,(G$17*G18+(H$17-G$17)*H18+(I$17-H$17)*I18+(J$17-I$17)*J18+(C10-J$17)*K18)/C$10,"Fehler")))))</f>
        <v>1.425</v>
      </c>
      <c r="D25" s="3"/>
      <c r="E25" s="17"/>
      <c r="F25" s="17"/>
      <c r="G25" s="17"/>
      <c r="H25" s="17"/>
      <c r="I25" s="17"/>
      <c r="J25" s="17"/>
      <c r="K25" s="17"/>
    </row>
    <row r="26" spans="1:12" hidden="1" outlineLevel="1" x14ac:dyDescent="0.2">
      <c r="A26" s="8"/>
      <c r="B26" s="8"/>
      <c r="C26" s="11"/>
      <c r="D26" s="3"/>
      <c r="E26" s="22"/>
      <c r="F26" s="17"/>
      <c r="G26" s="17"/>
      <c r="H26" s="17"/>
      <c r="I26" s="17"/>
      <c r="J26" s="17"/>
      <c r="K26" s="17"/>
    </row>
    <row r="27" spans="1:12" collapsed="1" x14ac:dyDescent="0.2">
      <c r="E27" s="17"/>
      <c r="F27" s="17"/>
      <c r="G27" s="17"/>
      <c r="H27" s="17"/>
      <c r="I27" s="17"/>
      <c r="J27" s="17"/>
      <c r="K27" s="17"/>
    </row>
    <row r="28" spans="1:12" x14ac:dyDescent="0.2">
      <c r="A28" s="6" t="s">
        <v>27</v>
      </c>
      <c r="E28" s="17"/>
      <c r="F28" s="17"/>
      <c r="G28" s="17"/>
      <c r="H28" s="17"/>
      <c r="I28" s="17"/>
      <c r="J28" s="17"/>
      <c r="K28" s="17"/>
    </row>
    <row r="29" spans="1:12" x14ac:dyDescent="0.2">
      <c r="A29" s="5" t="s">
        <v>28</v>
      </c>
      <c r="C29" s="12">
        <f>IF(C7-G4&lt;=0,G5,IF(C7-H4&lt;=0,(G5*G4+(C7-G4)*H5)/C7,IF(C7-I4&lt;=0,(G5*G4+H5*(H4-G4)+(C7-H4)*I5)/C7,IF(C7-J4&lt;=0,(G5*G4+H5*(H4-G4)+I5*(I4-H4)+(C7-I4)*J5)/C7,IF(C7-K4&lt;=0,(G5*G4+H5*(H4-G4)+I5*(I4-H4)+J5*(J4-I4)+(C7-J4)*K5)/C7,0)))))</f>
        <v>7.2657599999999993</v>
      </c>
      <c r="D29" s="13" t="s">
        <v>31</v>
      </c>
      <c r="E29" s="17"/>
      <c r="F29" s="17"/>
      <c r="G29" s="17"/>
      <c r="H29" s="17"/>
      <c r="I29" s="17"/>
      <c r="J29" s="17"/>
      <c r="K29" s="17"/>
    </row>
    <row r="30" spans="1:12" x14ac:dyDescent="0.2">
      <c r="A30" s="5" t="s">
        <v>29</v>
      </c>
      <c r="C30" s="12">
        <f>C25</f>
        <v>1.425</v>
      </c>
      <c r="D30" s="5" t="s">
        <v>31</v>
      </c>
      <c r="E30" s="17"/>
      <c r="F30" s="17"/>
      <c r="G30" s="17"/>
      <c r="H30" s="17"/>
      <c r="I30" s="17"/>
      <c r="J30" s="17"/>
      <c r="K30" s="17"/>
    </row>
    <row r="31" spans="1:12" x14ac:dyDescent="0.2">
      <c r="A31" s="36" t="s">
        <v>30</v>
      </c>
      <c r="C31" s="12">
        <f>C24</f>
        <v>0.33096711111111099</v>
      </c>
      <c r="D31" s="5" t="s">
        <v>31</v>
      </c>
      <c r="E31" s="17"/>
      <c r="F31" s="17"/>
      <c r="G31" s="17"/>
      <c r="H31" s="17"/>
      <c r="I31" s="17"/>
      <c r="J31" s="17"/>
      <c r="K31" s="17"/>
    </row>
    <row r="32" spans="1:12" ht="21.2" customHeight="1" thickBot="1" x14ac:dyDescent="0.25">
      <c r="A32" s="38" t="s">
        <v>15</v>
      </c>
      <c r="B32" s="38"/>
      <c r="C32" s="37">
        <f>IF(C7&lt;10000,IF(SUM(C29:C31)&gt;38,38,SUM(C29:C31)),0)</f>
        <v>9.0217271111111099</v>
      </c>
      <c r="D32" s="39" t="s">
        <v>31</v>
      </c>
      <c r="E32" s="17"/>
      <c r="F32" s="17"/>
      <c r="G32" s="17"/>
      <c r="H32" s="17"/>
      <c r="I32" s="17"/>
      <c r="J32" s="17"/>
      <c r="K32" s="17"/>
    </row>
    <row r="33" spans="1:15" ht="13.5" thickTop="1" x14ac:dyDescent="0.2">
      <c r="E33" s="32"/>
      <c r="F33" s="17"/>
      <c r="G33" s="17"/>
      <c r="H33" s="17"/>
      <c r="I33" s="17"/>
      <c r="J33" s="17"/>
      <c r="K33" s="17"/>
    </row>
    <row r="34" spans="1:15" x14ac:dyDescent="0.2">
      <c r="E34" s="17"/>
      <c r="F34" s="17"/>
      <c r="G34" s="17"/>
      <c r="H34" s="17"/>
      <c r="I34" s="17"/>
      <c r="J34" s="17"/>
      <c r="K34" s="17"/>
    </row>
    <row r="35" spans="1:15" x14ac:dyDescent="0.2">
      <c r="E35" s="17"/>
      <c r="F35" s="17"/>
      <c r="G35" s="17"/>
      <c r="H35" s="17"/>
      <c r="I35" s="17"/>
      <c r="J35" s="17"/>
      <c r="K35" s="17"/>
    </row>
    <row r="36" spans="1:15" x14ac:dyDescent="0.2">
      <c r="E36" s="17"/>
      <c r="F36" s="62"/>
      <c r="G36" s="62"/>
      <c r="H36" s="62"/>
      <c r="I36" s="62"/>
      <c r="J36" s="62"/>
      <c r="K36" s="62"/>
    </row>
    <row r="37" spans="1:15" s="44" customFormat="1" ht="33.200000000000003" customHeight="1" x14ac:dyDescent="0.2">
      <c r="A37" s="61"/>
      <c r="B37" s="62"/>
      <c r="C37" s="62"/>
      <c r="D37" s="62"/>
      <c r="E37" s="62"/>
      <c r="L37" s="62"/>
      <c r="M37" s="62"/>
      <c r="N37" s="62"/>
      <c r="O37" s="62"/>
    </row>
    <row r="38" spans="1:15" s="44" customFormat="1" ht="33.200000000000003" customHeight="1" x14ac:dyDescent="0.2">
      <c r="A38" s="45"/>
      <c r="F38" s="5"/>
      <c r="G38" s="5"/>
      <c r="H38" s="5"/>
      <c r="I38" s="5"/>
      <c r="J38" s="5"/>
      <c r="K38" s="5"/>
      <c r="N38" s="50"/>
      <c r="O38" s="50"/>
    </row>
    <row r="40" spans="1:15" x14ac:dyDescent="0.2">
      <c r="A40" s="40"/>
    </row>
  </sheetData>
  <sheetProtection password="AFA5" sheet="1" objects="1" scenarios="1" selectLockedCells="1" selectUnlockedCells="1"/>
  <pageMargins left="0.74803149606299213" right="0.74803149606299213" top="0.98425196850393704" bottom="0.98425196850393704" header="0.51181102362204722" footer="0.51181102362204722"/>
  <pageSetup paperSize="9" scale="68"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zoomScale="85" zoomScaleNormal="85" workbookViewId="0">
      <selection activeCell="D61" sqref="D61"/>
    </sheetView>
  </sheetViews>
  <sheetFormatPr defaultColWidth="11.5703125" defaultRowHeight="12.75" outlineLevelRow="1" outlineLevelCol="1" x14ac:dyDescent="0.2"/>
  <cols>
    <col min="1" max="1" width="79.5703125" style="5" customWidth="1"/>
    <col min="2" max="2" width="3.5703125" style="5" customWidth="1"/>
    <col min="3" max="3" width="14.5703125" style="5" customWidth="1"/>
    <col min="4" max="4" width="12" style="5" bestFit="1" customWidth="1"/>
    <col min="5" max="5" width="16.42578125" style="5" hidden="1" customWidth="1" outlineLevel="1"/>
    <col min="6" max="6" width="23.140625" style="5" hidden="1" customWidth="1" outlineLevel="1"/>
    <col min="7" max="11" width="11.5703125" style="5" hidden="1" customWidth="1" outlineLevel="1"/>
    <col min="12" max="12" width="16.42578125" style="5" customWidth="1" collapsed="1"/>
    <col min="13" max="13" width="16.7109375" style="5" customWidth="1"/>
    <col min="14" max="16384" width="11.5703125" style="5"/>
  </cols>
  <sheetData>
    <row r="1" spans="1:11" ht="18" x14ac:dyDescent="0.25">
      <c r="A1" s="4" t="s">
        <v>35</v>
      </c>
    </row>
    <row r="3" spans="1:11" s="17" customFormat="1" hidden="1" outlineLevel="1" x14ac:dyDescent="0.2">
      <c r="E3" s="16" t="s">
        <v>0</v>
      </c>
      <c r="G3" s="18" t="s">
        <v>1</v>
      </c>
      <c r="H3" s="18" t="s">
        <v>1</v>
      </c>
      <c r="I3" s="18" t="s">
        <v>1</v>
      </c>
      <c r="J3" s="18" t="s">
        <v>1</v>
      </c>
      <c r="K3" s="18" t="s">
        <v>1</v>
      </c>
    </row>
    <row r="4" spans="1:11" s="17" customFormat="1" hidden="1" outlineLevel="1" x14ac:dyDescent="0.2">
      <c r="A4" s="34"/>
      <c r="G4" s="19">
        <v>10</v>
      </c>
      <c r="H4" s="19">
        <v>50</v>
      </c>
      <c r="I4" s="19">
        <v>300</v>
      </c>
      <c r="J4" s="19">
        <v>1000</v>
      </c>
      <c r="K4" s="19">
        <v>10000</v>
      </c>
    </row>
    <row r="5" spans="1:11" s="17" customFormat="1" hidden="1" outlineLevel="1" x14ac:dyDescent="0.2">
      <c r="G5" s="20">
        <v>27.9</v>
      </c>
      <c r="H5" s="20">
        <v>21.1</v>
      </c>
      <c r="I5" s="20">
        <v>14.9</v>
      </c>
      <c r="J5" s="20">
        <v>10.9</v>
      </c>
      <c r="K5" s="20">
        <v>6.9</v>
      </c>
    </row>
    <row r="6" spans="1:11" s="17" customFormat="1" hidden="1" outlineLevel="1" x14ac:dyDescent="0.2"/>
    <row r="7" spans="1:11" s="17" customFormat="1" hidden="1" outlineLevel="1" x14ac:dyDescent="0.2"/>
    <row r="8" spans="1:11" collapsed="1" x14ac:dyDescent="0.2">
      <c r="A8" s="6" t="s">
        <v>21</v>
      </c>
      <c r="C8" s="7">
        <f>C9/C10</f>
        <v>5707.7625570776254</v>
      </c>
      <c r="D8" s="5" t="s">
        <v>17</v>
      </c>
      <c r="E8" s="17"/>
      <c r="F8" s="21"/>
      <c r="G8" s="22"/>
      <c r="H8" s="22"/>
      <c r="I8" s="17"/>
      <c r="J8" s="17"/>
      <c r="K8" s="17"/>
    </row>
    <row r="9" spans="1:11" x14ac:dyDescent="0.2">
      <c r="A9" s="5" t="s">
        <v>22</v>
      </c>
      <c r="C9" s="47">
        <f>'Berechnung KEV - KWK'!C15</f>
        <v>50000000</v>
      </c>
      <c r="D9" s="5" t="s">
        <v>16</v>
      </c>
      <c r="E9" s="17"/>
      <c r="F9" s="22"/>
      <c r="G9" s="23"/>
      <c r="H9" s="22"/>
      <c r="I9" s="17"/>
      <c r="J9" s="17"/>
      <c r="K9" s="17"/>
    </row>
    <row r="10" spans="1:11" x14ac:dyDescent="0.2">
      <c r="A10" s="5" t="s">
        <v>23</v>
      </c>
      <c r="C10" s="47">
        <f>'Berechnung KEV - KWK'!C16</f>
        <v>8760</v>
      </c>
      <c r="D10" s="5" t="s">
        <v>18</v>
      </c>
      <c r="E10" s="17"/>
      <c r="F10" s="22"/>
      <c r="G10" s="24"/>
      <c r="H10" s="22"/>
      <c r="I10" s="17"/>
      <c r="J10" s="17"/>
      <c r="K10" s="17"/>
    </row>
    <row r="11" spans="1:11" x14ac:dyDescent="0.2">
      <c r="A11" s="5" t="s">
        <v>24</v>
      </c>
      <c r="C11" s="47">
        <f>'Berechnung KEV - KWK'!C17</f>
        <v>180</v>
      </c>
      <c r="D11" s="5" t="s">
        <v>19</v>
      </c>
      <c r="E11" s="17"/>
      <c r="F11" s="22"/>
      <c r="G11" s="22"/>
      <c r="H11" s="22"/>
      <c r="I11" s="17"/>
      <c r="J11" s="17"/>
      <c r="K11" s="17"/>
    </row>
    <row r="12" spans="1:11" x14ac:dyDescent="0.2">
      <c r="A12" s="5" t="s">
        <v>25</v>
      </c>
      <c r="C12" s="47">
        <f>'Berechnung KEV - KWK'!C18</f>
        <v>2250000</v>
      </c>
      <c r="D12" s="5" t="s">
        <v>20</v>
      </c>
      <c r="E12" s="17"/>
      <c r="F12" s="22"/>
      <c r="G12" s="22"/>
      <c r="H12" s="22"/>
      <c r="I12" s="17"/>
      <c r="J12" s="17"/>
      <c r="K12" s="17"/>
    </row>
    <row r="13" spans="1:11" x14ac:dyDescent="0.2">
      <c r="A13" s="5" t="s">
        <v>26</v>
      </c>
      <c r="C13" s="47">
        <f>'Berechnung KEV - KWK'!C19</f>
        <v>600000</v>
      </c>
      <c r="D13" s="5" t="s">
        <v>20</v>
      </c>
      <c r="E13" s="17"/>
      <c r="F13" s="22"/>
      <c r="G13" s="22"/>
      <c r="H13" s="22"/>
      <c r="I13" s="17"/>
      <c r="J13" s="17"/>
      <c r="K13" s="17"/>
    </row>
    <row r="14" spans="1:11" s="8" customFormat="1" x14ac:dyDescent="0.2">
      <c r="D14" s="9"/>
      <c r="E14" s="22"/>
      <c r="F14" s="25"/>
      <c r="G14" s="22"/>
      <c r="H14" s="22"/>
      <c r="I14" s="22"/>
      <c r="J14" s="22"/>
      <c r="K14" s="22"/>
    </row>
    <row r="15" spans="1:11" s="22" customFormat="1" hidden="1" outlineLevel="1" x14ac:dyDescent="0.2">
      <c r="A15" s="33" t="s">
        <v>3</v>
      </c>
      <c r="F15" s="23"/>
    </row>
    <row r="16" spans="1:11" s="22" customFormat="1" hidden="1" outlineLevel="1" x14ac:dyDescent="0.2">
      <c r="A16" s="22" t="s">
        <v>4</v>
      </c>
      <c r="D16" s="24"/>
      <c r="G16" s="24"/>
    </row>
    <row r="17" spans="1:12" s="22" customFormat="1" hidden="1" outlineLevel="1" x14ac:dyDescent="0.2">
      <c r="G17" s="23"/>
    </row>
    <row r="18" spans="1:12" s="17" customFormat="1" hidden="1" outlineLevel="1" x14ac:dyDescent="0.2">
      <c r="A18" s="34" t="s">
        <v>5</v>
      </c>
      <c r="F18" s="26"/>
      <c r="G18" s="27" t="s">
        <v>1</v>
      </c>
      <c r="H18" s="27" t="s">
        <v>1</v>
      </c>
      <c r="I18" s="27" t="s">
        <v>1</v>
      </c>
      <c r="J18" s="27" t="s">
        <v>1</v>
      </c>
      <c r="K18" s="27" t="s">
        <v>6</v>
      </c>
    </row>
    <row r="19" spans="1:12" s="17" customFormat="1" hidden="1" outlineLevel="1" x14ac:dyDescent="0.2">
      <c r="F19" s="26" t="s">
        <v>2</v>
      </c>
      <c r="G19" s="28">
        <v>5</v>
      </c>
      <c r="H19" s="28">
        <v>10</v>
      </c>
      <c r="I19" s="28">
        <v>20</v>
      </c>
      <c r="J19" s="28">
        <v>50</v>
      </c>
      <c r="K19" s="28">
        <v>50</v>
      </c>
    </row>
    <row r="20" spans="1:12" s="17" customFormat="1" hidden="1" outlineLevel="1" x14ac:dyDescent="0.2">
      <c r="A20" s="17" t="s">
        <v>7</v>
      </c>
      <c r="F20" s="26" t="s">
        <v>8</v>
      </c>
      <c r="G20" s="29">
        <v>5.0999999999999996</v>
      </c>
      <c r="H20" s="29">
        <v>3</v>
      </c>
      <c r="I20" s="29">
        <v>2.2000000000000002</v>
      </c>
      <c r="J20" s="29">
        <v>1.7</v>
      </c>
      <c r="K20" s="29">
        <v>1.1000000000000001</v>
      </c>
    </row>
    <row r="21" spans="1:12" s="17" customFormat="1" hidden="1" outlineLevel="1" x14ac:dyDescent="0.2">
      <c r="F21" s="22"/>
      <c r="G21" s="22"/>
      <c r="H21" s="22"/>
      <c r="I21" s="22"/>
      <c r="J21" s="22"/>
      <c r="K21" s="22"/>
      <c r="L21" s="22"/>
    </row>
    <row r="22" spans="1:12" s="17" customFormat="1" hidden="1" outlineLevel="1" x14ac:dyDescent="0.2">
      <c r="F22" s="26" t="s">
        <v>9</v>
      </c>
      <c r="G22" s="30">
        <v>10</v>
      </c>
      <c r="H22" s="30">
        <v>50</v>
      </c>
      <c r="I22" s="30">
        <v>300</v>
      </c>
      <c r="J22" s="30">
        <v>1000</v>
      </c>
      <c r="K22" s="30">
        <v>10000</v>
      </c>
      <c r="L22" s="22"/>
    </row>
    <row r="23" spans="1:12" s="17" customFormat="1" hidden="1" outlineLevel="1" x14ac:dyDescent="0.2">
      <c r="A23" s="17" t="s">
        <v>10</v>
      </c>
      <c r="F23" s="26" t="s">
        <v>11</v>
      </c>
      <c r="G23" s="31">
        <v>6.2</v>
      </c>
      <c r="H23" s="31">
        <v>4.5</v>
      </c>
      <c r="I23" s="31">
        <v>3.4</v>
      </c>
      <c r="J23" s="31">
        <v>2.8</v>
      </c>
      <c r="K23" s="31">
        <v>2.8</v>
      </c>
    </row>
    <row r="24" spans="1:12" s="17" customFormat="1" hidden="1" outlineLevel="1" x14ac:dyDescent="0.2">
      <c r="D24" s="35"/>
    </row>
    <row r="25" spans="1:12" hidden="1" outlineLevel="1" x14ac:dyDescent="0.2">
      <c r="A25" s="5" t="s">
        <v>12</v>
      </c>
      <c r="B25" s="5" t="s">
        <v>13</v>
      </c>
      <c r="C25" s="10">
        <f>IF((C13/C12)&lt;0.2,0,IF((C13/C12)&gt;0.5,1,((C13/C12)-0.2)/0.3))*IF(C8&lt;=10,HLOOKUP(10,neubau,2),IF(C8&lt;=50,(10*HLOOKUP(10,neubau,2)+(C8-10)*HLOOKUP(50,neubau,2))/C8,IF(C8&lt;=300,(10*HLOOKUP(10,neubau,2)+40*HLOOKUP(50,neubau,2)+(C8-10-40)*HLOOKUP(300,neubau,2))/C8,IF(C8&lt;=1000,(10*HLOOKUP(10,neubau,2)+40*HLOOKUP(50,neubau,2)+250*HLOOKUP(300,neubau,2)+(C8-10-40-250)*HLOOKUP(1000,neubau,2))/C8,IF(C8&lt;=10000,(10*HLOOKUP(10,neubau,2)+40*HLOOKUP(50,neubau,2)+250*HLOOKUP(300,neubau,2)+700*HLOOKUP(1000,neubau,2)+(C8-10-40-250-700)*HLOOKUP(10000,neubau,2))/C8,0)))))</f>
        <v>0.63203342222222203</v>
      </c>
      <c r="D25" s="3">
        <f>IF((C13/C12)&lt;0.2,0,IF((C13/C12)&gt;0.5,1,((C13/C12)-0.2)/0.3))*IF(C8&lt;=10,HLOOKUP(10,neubau,2),IF(C8&lt;=50,HLOOKUP(50,neubau,2),IF(C8&lt;=300,HLOOKUP(300,neubau,2),IF(C8&lt;=1000,HLOOKUP(1000,neubau,2),IF(C8&lt;=10000,HLOOKUP(10000,neubau,2))))))</f>
        <v>0.62222222222222212</v>
      </c>
      <c r="E25" s="17"/>
      <c r="F25" s="17"/>
      <c r="G25" s="17"/>
      <c r="H25" s="17"/>
      <c r="I25" s="17"/>
      <c r="J25" s="17"/>
      <c r="K25" s="17"/>
    </row>
    <row r="26" spans="1:12" hidden="1" outlineLevel="1" x14ac:dyDescent="0.2">
      <c r="B26" s="5" t="s">
        <v>14</v>
      </c>
      <c r="C26" s="10">
        <f>IF(C$11-G$19&lt;=0,G20,IF(C$11-H$19&lt;=0,(G$19*G20+(C$11-G$19)*H20)/C$11,IF(C$11-I$19&lt;=0,(G$19*G20+(H$19-$G19)*H20+(C$11-H$19)*I20)/C$11,IF(C$11-J$19&lt;=0,(G$19*G20+(H$19-G$19)*H20+(I$19-H$19)*I20+(C$11-I$19)*J20)/C$11,IF(C$11-J$19&gt;0,(G$19*G20+(H$19-G$19)*H20+(I$19-H$19)*I20+(J$19-I$19)*J20+(C11-J$19)*K20)/C$11,"Fehler")))))</f>
        <v>1.425</v>
      </c>
      <c r="D26" s="3"/>
      <c r="E26" s="17"/>
      <c r="F26" s="22"/>
      <c r="G26" s="17"/>
      <c r="H26" s="17"/>
      <c r="I26" s="17"/>
      <c r="J26" s="17"/>
      <c r="K26" s="17"/>
    </row>
    <row r="27" spans="1:12" hidden="1" outlineLevel="1" x14ac:dyDescent="0.2">
      <c r="A27" s="8"/>
      <c r="B27" s="8"/>
      <c r="C27" s="11"/>
      <c r="D27" s="3"/>
      <c r="E27" s="22"/>
      <c r="F27" s="17"/>
      <c r="G27" s="17"/>
      <c r="H27" s="17"/>
      <c r="I27" s="17"/>
      <c r="J27" s="17"/>
      <c r="K27" s="17"/>
    </row>
    <row r="28" spans="1:12" collapsed="1" x14ac:dyDescent="0.2">
      <c r="E28" s="17"/>
      <c r="F28" s="17"/>
      <c r="G28" s="17"/>
      <c r="H28" s="17"/>
      <c r="I28" s="17"/>
      <c r="J28" s="17"/>
      <c r="K28" s="17"/>
    </row>
    <row r="29" spans="1:12" x14ac:dyDescent="0.2">
      <c r="A29" s="6" t="s">
        <v>27</v>
      </c>
      <c r="E29" s="17"/>
      <c r="F29" s="17"/>
      <c r="G29" s="17"/>
      <c r="H29" s="17"/>
      <c r="I29" s="17"/>
      <c r="J29" s="17"/>
      <c r="K29" s="17"/>
    </row>
    <row r="30" spans="1:12" x14ac:dyDescent="0.2">
      <c r="A30" s="5" t="s">
        <v>28</v>
      </c>
      <c r="C30" s="12">
        <f>IF(C8-G4&lt;=0,G5,IF(C8-H4&lt;=0,(G5*G4+(C8-G4)*H5)/C8,IF(C8-I4&lt;=0,(G5*G4+H5*(H4-G4)+(C8-H4)*I5)/C8,IF(C8-J4&lt;=0,(G5*G4+H5*(H4-G4)+I5*(I4-H4)+(C8-I4)*J5)/C8,IF(C8-K4&lt;=0,(G5*G4+H5*(H4-G4)+I5*(I4-H4)+J5*(J4-I4)+(C8-J4)*K5)/C8,0)))))</f>
        <v>7.8772656000000003</v>
      </c>
      <c r="D30" s="13" t="s">
        <v>31</v>
      </c>
      <c r="E30" s="17"/>
      <c r="F30" s="17"/>
      <c r="G30" s="17"/>
      <c r="H30" s="17"/>
      <c r="I30" s="17"/>
      <c r="J30" s="17"/>
      <c r="K30" s="17"/>
    </row>
    <row r="31" spans="1:12" x14ac:dyDescent="0.2">
      <c r="A31" s="5" t="s">
        <v>29</v>
      </c>
      <c r="C31" s="12">
        <f>C26</f>
        <v>1.425</v>
      </c>
      <c r="D31" s="5" t="s">
        <v>31</v>
      </c>
      <c r="E31" s="17"/>
      <c r="F31" s="17"/>
      <c r="G31" s="17"/>
      <c r="H31" s="17"/>
      <c r="I31" s="17"/>
      <c r="J31" s="17"/>
      <c r="K31" s="17"/>
    </row>
    <row r="32" spans="1:12" x14ac:dyDescent="0.2">
      <c r="A32" s="36" t="s">
        <v>30</v>
      </c>
      <c r="C32" s="12">
        <f>C25</f>
        <v>0.63203342222222203</v>
      </c>
      <c r="D32" s="5" t="s">
        <v>31</v>
      </c>
      <c r="E32" s="17"/>
      <c r="F32" s="17"/>
      <c r="G32" s="17"/>
      <c r="H32" s="17"/>
      <c r="I32" s="17"/>
      <c r="J32" s="17"/>
      <c r="K32" s="17"/>
    </row>
    <row r="33" spans="1:11" ht="21.2" customHeight="1" thickBot="1" x14ac:dyDescent="0.25">
      <c r="A33" s="38" t="s">
        <v>15</v>
      </c>
      <c r="B33" s="38"/>
      <c r="C33" s="37">
        <f>IF(C8&lt;10000,IF(SUM(C30:C32)&gt;38,38,SUM(C30:C32)),0)</f>
        <v>9.9342990222222216</v>
      </c>
      <c r="D33" s="39" t="s">
        <v>31</v>
      </c>
      <c r="E33" s="17"/>
      <c r="F33" s="17"/>
      <c r="G33" s="17"/>
      <c r="H33" s="17"/>
      <c r="I33" s="17"/>
      <c r="J33" s="17"/>
      <c r="K33" s="17"/>
    </row>
    <row r="34" spans="1:11" ht="13.5" thickTop="1" x14ac:dyDescent="0.2">
      <c r="E34" s="32"/>
      <c r="F34" s="17"/>
      <c r="G34" s="17"/>
      <c r="H34" s="17"/>
      <c r="I34" s="17"/>
      <c r="J34" s="17"/>
      <c r="K34" s="17"/>
    </row>
    <row r="35" spans="1:11" x14ac:dyDescent="0.2">
      <c r="E35" s="17"/>
      <c r="F35" s="17"/>
      <c r="G35" s="17"/>
      <c r="H35" s="17"/>
      <c r="I35" s="17"/>
      <c r="J35" s="17"/>
      <c r="K35" s="17"/>
    </row>
    <row r="36" spans="1:11" x14ac:dyDescent="0.2">
      <c r="E36" s="17"/>
      <c r="F36" s="17"/>
      <c r="G36" s="17"/>
      <c r="H36" s="17"/>
      <c r="I36" s="17"/>
      <c r="J36" s="17"/>
      <c r="K36" s="17"/>
    </row>
    <row r="37" spans="1:11" x14ac:dyDescent="0.2">
      <c r="E37" s="17"/>
      <c r="F37" s="17"/>
      <c r="G37" s="17"/>
      <c r="H37" s="17"/>
      <c r="I37" s="17"/>
      <c r="J37" s="17"/>
      <c r="K37" s="17"/>
    </row>
  </sheetData>
  <sheetProtection password="AFA5" sheet="1" objects="1" scenarios="1" selectLockedCells="1" selectUnlockedCells="1"/>
  <pageMargins left="0.74803149606299213" right="0.74803149606299213" top="0.98425196850393704" bottom="0.98425196850393704" header="0.51181102362204722" footer="0.51181102362204722"/>
  <pageSetup paperSize="9" scale="68"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zoomScale="85" zoomScaleNormal="85" workbookViewId="0">
      <selection activeCell="C29" sqref="C29"/>
    </sheetView>
  </sheetViews>
  <sheetFormatPr defaultColWidth="11.5703125" defaultRowHeight="12.75" outlineLevelRow="1" outlineLevelCol="1" x14ac:dyDescent="0.2"/>
  <cols>
    <col min="1" max="1" width="79.5703125" style="5" customWidth="1"/>
    <col min="2" max="2" width="3.5703125" style="5" customWidth="1"/>
    <col min="3" max="3" width="14.5703125" style="5" customWidth="1"/>
    <col min="4" max="4" width="12" style="5" bestFit="1" customWidth="1"/>
    <col min="5" max="5" width="16.42578125" style="5" hidden="1" customWidth="1" outlineLevel="1"/>
    <col min="6" max="6" width="23.140625" style="5" hidden="1" customWidth="1" outlineLevel="1"/>
    <col min="7" max="11" width="11.5703125" style="5" hidden="1" customWidth="1" outlineLevel="1"/>
    <col min="12" max="12" width="16.42578125" style="5" customWidth="1" collapsed="1"/>
    <col min="13" max="13" width="16.7109375" style="5" customWidth="1"/>
    <col min="14" max="16384" width="11.5703125" style="5"/>
  </cols>
  <sheetData>
    <row r="1" spans="1:11" ht="18" x14ac:dyDescent="0.25">
      <c r="A1" s="4" t="s">
        <v>35</v>
      </c>
    </row>
    <row r="3" spans="1:11" s="17" customFormat="1" hidden="1" outlineLevel="1" x14ac:dyDescent="0.2">
      <c r="E3" s="16" t="s">
        <v>0</v>
      </c>
      <c r="G3" s="18" t="s">
        <v>1</v>
      </c>
      <c r="H3" s="18" t="s">
        <v>1</v>
      </c>
      <c r="I3" s="18" t="s">
        <v>1</v>
      </c>
      <c r="J3" s="18" t="s">
        <v>1</v>
      </c>
      <c r="K3" s="18" t="s">
        <v>1</v>
      </c>
    </row>
    <row r="4" spans="1:11" s="17" customFormat="1" hidden="1" outlineLevel="1" x14ac:dyDescent="0.2">
      <c r="A4" s="34"/>
      <c r="G4" s="19">
        <v>10</v>
      </c>
      <c r="H4" s="19">
        <v>50</v>
      </c>
      <c r="I4" s="19">
        <v>300</v>
      </c>
      <c r="J4" s="19">
        <v>1000</v>
      </c>
      <c r="K4" s="19">
        <v>10000</v>
      </c>
    </row>
    <row r="5" spans="1:11" s="17" customFormat="1" hidden="1" outlineLevel="1" x14ac:dyDescent="0.2">
      <c r="G5" s="20">
        <v>27.9</v>
      </c>
      <c r="H5" s="20">
        <v>21.1</v>
      </c>
      <c r="I5" s="20">
        <v>14.9</v>
      </c>
      <c r="J5" s="20">
        <v>10.9</v>
      </c>
      <c r="K5" s="20">
        <v>6.9</v>
      </c>
    </row>
    <row r="6" spans="1:11" s="17" customFormat="1" hidden="1" outlineLevel="1" x14ac:dyDescent="0.2"/>
    <row r="7" spans="1:11" s="17" customFormat="1" hidden="1" outlineLevel="1" x14ac:dyDescent="0.2"/>
    <row r="8" spans="1:11" collapsed="1" x14ac:dyDescent="0.2">
      <c r="A8" s="6" t="s">
        <v>21</v>
      </c>
      <c r="C8" s="7">
        <f>C9/C10</f>
        <v>5707.7625570776254</v>
      </c>
      <c r="D8" s="5" t="s">
        <v>17</v>
      </c>
      <c r="E8" s="17"/>
      <c r="F8" s="21"/>
      <c r="G8" s="22"/>
      <c r="H8" s="22"/>
      <c r="I8" s="17"/>
      <c r="J8" s="17"/>
      <c r="K8" s="17"/>
    </row>
    <row r="9" spans="1:11" x14ac:dyDescent="0.2">
      <c r="A9" s="5" t="s">
        <v>22</v>
      </c>
      <c r="C9" s="47">
        <f>'Berechnung KEV - KWK'!C15</f>
        <v>50000000</v>
      </c>
      <c r="D9" s="5" t="s">
        <v>16</v>
      </c>
      <c r="E9" s="17"/>
      <c r="F9" s="22"/>
      <c r="G9" s="23"/>
      <c r="H9" s="22"/>
      <c r="I9" s="17"/>
      <c r="J9" s="17"/>
      <c r="K9" s="17"/>
    </row>
    <row r="10" spans="1:11" x14ac:dyDescent="0.2">
      <c r="A10" s="5" t="s">
        <v>23</v>
      </c>
      <c r="C10" s="47">
        <f>'Berechnung KEV - KWK'!C16</f>
        <v>8760</v>
      </c>
      <c r="D10" s="5" t="s">
        <v>18</v>
      </c>
      <c r="E10" s="17"/>
      <c r="F10" s="22"/>
      <c r="G10" s="24"/>
      <c r="H10" s="22"/>
      <c r="I10" s="17"/>
      <c r="J10" s="17"/>
      <c r="K10" s="17"/>
    </row>
    <row r="11" spans="1:11" x14ac:dyDescent="0.2">
      <c r="A11" s="5" t="s">
        <v>24</v>
      </c>
      <c r="C11" s="47">
        <f>'Berechnung KEV - KWK'!C17</f>
        <v>180</v>
      </c>
      <c r="D11" s="5" t="s">
        <v>19</v>
      </c>
      <c r="E11" s="17"/>
      <c r="F11" s="22"/>
      <c r="G11" s="22"/>
      <c r="H11" s="22"/>
      <c r="I11" s="17"/>
      <c r="J11" s="17"/>
      <c r="K11" s="17"/>
    </row>
    <row r="12" spans="1:11" x14ac:dyDescent="0.2">
      <c r="A12" s="5" t="s">
        <v>25</v>
      </c>
      <c r="C12" s="47">
        <f>'Berechnung KEV - KWK'!C18</f>
        <v>2250000</v>
      </c>
      <c r="D12" s="5" t="s">
        <v>20</v>
      </c>
      <c r="E12" s="17"/>
      <c r="F12" s="22"/>
      <c r="G12" s="22"/>
      <c r="H12" s="22"/>
      <c r="I12" s="17"/>
      <c r="J12" s="17"/>
      <c r="K12" s="17"/>
    </row>
    <row r="13" spans="1:11" x14ac:dyDescent="0.2">
      <c r="A13" s="5" t="s">
        <v>26</v>
      </c>
      <c r="C13" s="47">
        <f>'Berechnung KEV - KWK'!C19</f>
        <v>600000</v>
      </c>
      <c r="D13" s="5" t="s">
        <v>20</v>
      </c>
      <c r="E13" s="17"/>
      <c r="F13" s="22"/>
      <c r="G13" s="22"/>
      <c r="H13" s="22"/>
      <c r="I13" s="17"/>
      <c r="J13" s="17"/>
      <c r="K13" s="17"/>
    </row>
    <row r="14" spans="1:11" s="8" customFormat="1" x14ac:dyDescent="0.2">
      <c r="D14" s="9"/>
      <c r="E14" s="22"/>
      <c r="F14" s="25"/>
      <c r="G14" s="22"/>
      <c r="H14" s="22"/>
      <c r="I14" s="22"/>
      <c r="J14" s="22"/>
      <c r="K14" s="22"/>
    </row>
    <row r="15" spans="1:11" s="22" customFormat="1" hidden="1" outlineLevel="1" x14ac:dyDescent="0.2">
      <c r="A15" s="33" t="s">
        <v>3</v>
      </c>
      <c r="F15" s="23"/>
    </row>
    <row r="16" spans="1:11" s="22" customFormat="1" hidden="1" outlineLevel="1" x14ac:dyDescent="0.2">
      <c r="A16" s="22" t="s">
        <v>4</v>
      </c>
      <c r="D16" s="24"/>
      <c r="G16" s="24"/>
    </row>
    <row r="17" spans="1:12" s="22" customFormat="1" hidden="1" outlineLevel="1" x14ac:dyDescent="0.2">
      <c r="G17" s="23"/>
    </row>
    <row r="18" spans="1:12" s="17" customFormat="1" hidden="1" outlineLevel="1" x14ac:dyDescent="0.2">
      <c r="A18" s="34" t="s">
        <v>5</v>
      </c>
      <c r="F18" s="26"/>
      <c r="G18" s="27" t="s">
        <v>1</v>
      </c>
      <c r="H18" s="27" t="s">
        <v>1</v>
      </c>
      <c r="I18" s="27" t="s">
        <v>1</v>
      </c>
      <c r="J18" s="27" t="s">
        <v>1</v>
      </c>
      <c r="K18" s="27" t="s">
        <v>6</v>
      </c>
    </row>
    <row r="19" spans="1:12" s="17" customFormat="1" hidden="1" outlineLevel="1" x14ac:dyDescent="0.2">
      <c r="F19" s="26" t="s">
        <v>2</v>
      </c>
      <c r="G19" s="28">
        <v>5</v>
      </c>
      <c r="H19" s="28">
        <v>10</v>
      </c>
      <c r="I19" s="28">
        <v>20</v>
      </c>
      <c r="J19" s="28">
        <v>50</v>
      </c>
      <c r="K19" s="28">
        <v>50</v>
      </c>
    </row>
    <row r="20" spans="1:12" s="17" customFormat="1" hidden="1" outlineLevel="1" x14ac:dyDescent="0.2">
      <c r="A20" s="17" t="s">
        <v>7</v>
      </c>
      <c r="F20" s="26" t="s">
        <v>8</v>
      </c>
      <c r="G20" s="29">
        <v>5.0999999999999996</v>
      </c>
      <c r="H20" s="29">
        <v>3</v>
      </c>
      <c r="I20" s="29">
        <v>2.2000000000000002</v>
      </c>
      <c r="J20" s="29">
        <v>1.7</v>
      </c>
      <c r="K20" s="29">
        <v>1.1000000000000001</v>
      </c>
    </row>
    <row r="21" spans="1:12" s="17" customFormat="1" hidden="1" outlineLevel="1" x14ac:dyDescent="0.2">
      <c r="F21" s="22"/>
      <c r="G21" s="22"/>
      <c r="H21" s="22"/>
      <c r="I21" s="22"/>
      <c r="J21" s="22"/>
      <c r="K21" s="22"/>
      <c r="L21" s="22"/>
    </row>
    <row r="22" spans="1:12" s="17" customFormat="1" hidden="1" outlineLevel="1" x14ac:dyDescent="0.2">
      <c r="F22" s="26" t="s">
        <v>9</v>
      </c>
      <c r="G22" s="30">
        <v>10</v>
      </c>
      <c r="H22" s="30">
        <v>50</v>
      </c>
      <c r="I22" s="30">
        <v>300</v>
      </c>
      <c r="J22" s="30">
        <v>1000</v>
      </c>
      <c r="K22" s="30">
        <v>10000</v>
      </c>
      <c r="L22" s="22"/>
    </row>
    <row r="23" spans="1:12" s="17" customFormat="1" hidden="1" outlineLevel="1" x14ac:dyDescent="0.2">
      <c r="A23" s="17" t="s">
        <v>10</v>
      </c>
      <c r="F23" s="26" t="s">
        <v>11</v>
      </c>
      <c r="G23" s="31">
        <v>6.2</v>
      </c>
      <c r="H23" s="31">
        <v>4.5</v>
      </c>
      <c r="I23" s="31">
        <v>0</v>
      </c>
      <c r="J23" s="31">
        <v>0</v>
      </c>
      <c r="K23" s="31">
        <v>0</v>
      </c>
    </row>
    <row r="24" spans="1:12" s="17" customFormat="1" hidden="1" outlineLevel="1" x14ac:dyDescent="0.2">
      <c r="D24" s="35"/>
    </row>
    <row r="25" spans="1:12" hidden="1" outlineLevel="1" x14ac:dyDescent="0.2">
      <c r="A25" s="5" t="s">
        <v>12</v>
      </c>
      <c r="B25" s="5" t="s">
        <v>13</v>
      </c>
      <c r="C25" s="10">
        <f>IF((C13/C12)&lt;0.2,0,IF((C13/C12)&gt;0.5,1,((C13/C12)-0.2)/0.3))*IF(C8&lt;=10,HLOOKUP(10,neubau,2),IF(C8&lt;=50,(10*HLOOKUP(10,neubau,2)+(C8-10)*HLOOKUP(50,neubau,2))/C8,IF(C8&lt;=300,(10*HLOOKUP(10,neubau,2)+40*HLOOKUP(50,neubau,2)+(C8-10-40)*HLOOKUP(300,neubau,2))/C8,IF(C8&lt;=1000,(10*HLOOKUP(10,neubau,2)+40*HLOOKUP(50,neubau,2)+250*HLOOKUP(300,neubau,2)+(C8-10-40-250)*HLOOKUP(1000,neubau,2))/C8,IF(C8&lt;=10000,(10*HLOOKUP(10,neubau,2)+40*HLOOKUP(50,neubau,2)+250*HLOOKUP(300,neubau,2)+700*HLOOKUP(1000,neubau,2)+(C8-10-40-250-700)*HLOOKUP(10000,neubau,2))/C8,0)))))</f>
        <v>9.4218666666666655E-3</v>
      </c>
      <c r="D25" s="3">
        <f>IF((C13/C12)&lt;0.2,0,IF((C13/C12)&gt;0.5,1,((C13/C12)-0.2)/0.3))*IF(C8&lt;=10,HLOOKUP(10,neubau,2),IF(C8&lt;=50,HLOOKUP(50,neubau,2),IF(C8&lt;=300,HLOOKUP(300,neubau,2),IF(C8&lt;=1000,HLOOKUP(1000,neubau,2),IF(C8&lt;=10000,HLOOKUP(10000,neubau,2))))))</f>
        <v>0</v>
      </c>
      <c r="E25" s="17"/>
      <c r="F25" s="17"/>
      <c r="G25" s="17"/>
      <c r="H25" s="17"/>
      <c r="I25" s="17"/>
      <c r="J25" s="17"/>
      <c r="K25" s="17"/>
    </row>
    <row r="26" spans="1:12" hidden="1" outlineLevel="1" x14ac:dyDescent="0.2">
      <c r="B26" s="5" t="s">
        <v>14</v>
      </c>
      <c r="C26" s="10">
        <f>IF(C$11-G$19&lt;=0,G20,IF(C$11-H$19&lt;=0,(G$19*G20+(C$11-G$19)*H20)/C$11,IF(C$11-I$19&lt;=0,(G$19*G20+(H$19-$G19)*H20+(C$11-H$19)*I20)/C$11,IF(C$11-J$19&lt;=0,(G$19*G20+(H$19-G$19)*H20+(I$19-H$19)*I20+(C$11-I$19)*J20)/C$11,IF(C$11-J$19&gt;0,(G$19*G20+(H$19-G$19)*H20+(I$19-H$19)*I20+(J$19-I$19)*J20+(C11-J$19)*K20)/C$11,"Fehler")))))</f>
        <v>1.425</v>
      </c>
      <c r="D26" s="3"/>
      <c r="E26" s="17"/>
      <c r="F26" s="22"/>
      <c r="G26" s="17"/>
      <c r="H26" s="17"/>
      <c r="I26" s="17"/>
      <c r="J26" s="17"/>
      <c r="K26" s="17"/>
    </row>
    <row r="27" spans="1:12" hidden="1" outlineLevel="1" x14ac:dyDescent="0.2">
      <c r="A27" s="8"/>
      <c r="B27" s="8"/>
      <c r="C27" s="11"/>
      <c r="D27" s="3"/>
      <c r="E27" s="22"/>
      <c r="F27" s="17"/>
      <c r="G27" s="17"/>
      <c r="H27" s="17"/>
      <c r="I27" s="17"/>
      <c r="J27" s="17"/>
      <c r="K27" s="17"/>
    </row>
    <row r="28" spans="1:12" collapsed="1" x14ac:dyDescent="0.2">
      <c r="E28" s="17"/>
      <c r="F28" s="17"/>
      <c r="G28" s="17"/>
      <c r="H28" s="17"/>
      <c r="I28" s="17"/>
      <c r="J28" s="17"/>
      <c r="K28" s="17"/>
    </row>
    <row r="29" spans="1:12" x14ac:dyDescent="0.2">
      <c r="A29" s="6" t="s">
        <v>27</v>
      </c>
      <c r="E29" s="17"/>
      <c r="F29" s="17"/>
      <c r="G29" s="17"/>
      <c r="H29" s="17"/>
      <c r="I29" s="17"/>
      <c r="J29" s="17"/>
      <c r="K29" s="17"/>
    </row>
    <row r="30" spans="1:12" x14ac:dyDescent="0.2">
      <c r="A30" s="5" t="s">
        <v>28</v>
      </c>
      <c r="C30" s="12">
        <f>IF(C8-G4&lt;=0,G5,IF(C8-H4&lt;=0,(G5*G4+(C8-G4)*H5)/C8,IF(C8-I4&lt;=0,(G5*G4+H5*(H4-G4)+(C8-H4)*I5)/C8,IF(C8-J4&lt;=0,(G5*G4+H5*(H4-G4)+I5*(I4-H4)+(C8-I4)*J5)/C8,IF(C8-K4&lt;=0,(G5*G4+H5*(H4-G4)+I5*(I4-H4)+J5*(J4-I4)+(C8-J4)*K5)/C8,0)))))</f>
        <v>7.8772656000000003</v>
      </c>
      <c r="D30" s="13" t="s">
        <v>31</v>
      </c>
      <c r="E30" s="17"/>
      <c r="F30" s="17"/>
      <c r="G30" s="17"/>
      <c r="H30" s="17"/>
      <c r="I30" s="17"/>
      <c r="J30" s="17"/>
      <c r="K30" s="17"/>
    </row>
    <row r="31" spans="1:12" x14ac:dyDescent="0.2">
      <c r="A31" s="5" t="s">
        <v>29</v>
      </c>
      <c r="C31" s="12">
        <f>C26</f>
        <v>1.425</v>
      </c>
      <c r="D31" s="5" t="s">
        <v>31</v>
      </c>
      <c r="E31" s="17"/>
      <c r="F31" s="17"/>
      <c r="G31" s="17"/>
      <c r="H31" s="17"/>
      <c r="I31" s="17"/>
      <c r="J31" s="17"/>
      <c r="K31" s="17"/>
    </row>
    <row r="32" spans="1:12" x14ac:dyDescent="0.2">
      <c r="A32" s="36" t="s">
        <v>30</v>
      </c>
      <c r="C32" s="12">
        <f>C25</f>
        <v>9.4218666666666655E-3</v>
      </c>
      <c r="D32" s="5" t="s">
        <v>31</v>
      </c>
      <c r="E32" s="17"/>
      <c r="F32" s="17"/>
      <c r="G32" s="17"/>
      <c r="H32" s="17"/>
      <c r="I32" s="17"/>
      <c r="J32" s="17"/>
      <c r="K32" s="17"/>
    </row>
    <row r="33" spans="1:11" ht="21.2" customHeight="1" thickBot="1" x14ac:dyDescent="0.25">
      <c r="A33" s="38" t="s">
        <v>15</v>
      </c>
      <c r="B33" s="38"/>
      <c r="C33" s="37">
        <f>IF(C8&lt;10000,IF(SUM(C30:C32)&gt;38,38,SUM(C30:C32)),0)</f>
        <v>9.3116874666666671</v>
      </c>
      <c r="D33" s="39" t="s">
        <v>31</v>
      </c>
      <c r="E33" s="17"/>
      <c r="F33" s="17"/>
      <c r="G33" s="17"/>
      <c r="H33" s="17"/>
      <c r="I33" s="17"/>
      <c r="J33" s="17"/>
      <c r="K33" s="17"/>
    </row>
    <row r="34" spans="1:11" ht="13.5" thickTop="1" x14ac:dyDescent="0.2">
      <c r="E34" s="32"/>
      <c r="F34" s="17"/>
      <c r="G34" s="17"/>
      <c r="H34" s="17"/>
      <c r="I34" s="17"/>
      <c r="J34" s="17"/>
      <c r="K34" s="17"/>
    </row>
    <row r="35" spans="1:11" x14ac:dyDescent="0.2">
      <c r="E35" s="17"/>
      <c r="F35" s="17"/>
      <c r="G35" s="17"/>
      <c r="H35" s="17"/>
      <c r="I35" s="17"/>
      <c r="J35" s="17"/>
      <c r="K35" s="17"/>
    </row>
    <row r="36" spans="1:11" x14ac:dyDescent="0.2">
      <c r="E36" s="17"/>
      <c r="F36" s="17"/>
      <c r="G36" s="17"/>
      <c r="H36" s="17"/>
      <c r="I36" s="17"/>
      <c r="J36" s="17"/>
      <c r="K36" s="17"/>
    </row>
    <row r="37" spans="1:11" x14ac:dyDescent="0.2">
      <c r="E37" s="17"/>
      <c r="F37" s="17"/>
      <c r="G37" s="17"/>
      <c r="H37" s="17"/>
      <c r="I37" s="17"/>
      <c r="J37" s="17"/>
      <c r="K37" s="17"/>
    </row>
  </sheetData>
  <sheetProtection password="AFA5" sheet="1" objects="1" scenarios="1" selectLockedCells="1" selectUnlockedCells="1"/>
  <pageMargins left="0.74803149606299213" right="0.74803149606299213" top="0.98425196850393704" bottom="0.98425196850393704" header="0.51181102362204722" footer="0.51181102362204722"/>
  <pageSetup paperSize="9" scale="68"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zoomScale="85" zoomScaleNormal="85" workbookViewId="0">
      <selection activeCell="H54" sqref="H54"/>
    </sheetView>
  </sheetViews>
  <sheetFormatPr defaultColWidth="11.5703125" defaultRowHeight="12.75" outlineLevelRow="1" outlineLevelCol="1" x14ac:dyDescent="0.2"/>
  <cols>
    <col min="1" max="1" width="79.5703125" style="5" customWidth="1"/>
    <col min="2" max="2" width="3.5703125" style="5" customWidth="1"/>
    <col min="3" max="3" width="14.5703125" style="5" customWidth="1"/>
    <col min="4" max="4" width="12" style="5" bestFit="1" customWidth="1"/>
    <col min="5" max="5" width="16.42578125" style="5" hidden="1" customWidth="1" outlineLevel="1"/>
    <col min="6" max="6" width="23.140625" style="5" hidden="1" customWidth="1" outlineLevel="1"/>
    <col min="7" max="11" width="11.5703125" style="5" hidden="1" customWidth="1" outlineLevel="1"/>
    <col min="12" max="12" width="16.42578125" style="5" customWidth="1" collapsed="1"/>
    <col min="13" max="13" width="16.7109375" style="5" customWidth="1"/>
    <col min="14" max="16384" width="11.5703125" style="5"/>
  </cols>
  <sheetData>
    <row r="1" spans="1:11" ht="18" x14ac:dyDescent="0.25">
      <c r="A1" s="4" t="s">
        <v>50</v>
      </c>
    </row>
    <row r="3" spans="1:11" s="17" customFormat="1" hidden="1" outlineLevel="1" x14ac:dyDescent="0.2">
      <c r="E3" s="16" t="s">
        <v>0</v>
      </c>
      <c r="G3" s="18" t="s">
        <v>1</v>
      </c>
      <c r="H3" s="18" t="s">
        <v>1</v>
      </c>
      <c r="I3" s="18" t="s">
        <v>1</v>
      </c>
      <c r="J3" s="18" t="s">
        <v>1</v>
      </c>
      <c r="K3" s="18" t="s">
        <v>1</v>
      </c>
    </row>
    <row r="4" spans="1:11" s="17" customFormat="1" hidden="1" outlineLevel="1" x14ac:dyDescent="0.2">
      <c r="A4" s="34"/>
      <c r="G4" s="19">
        <v>10</v>
      </c>
      <c r="H4" s="19">
        <v>50</v>
      </c>
      <c r="I4" s="19">
        <v>300</v>
      </c>
      <c r="J4" s="19">
        <v>1000</v>
      </c>
      <c r="K4" s="19">
        <v>10000</v>
      </c>
    </row>
    <row r="5" spans="1:11" s="17" customFormat="1" hidden="1" outlineLevel="1" x14ac:dyDescent="0.2">
      <c r="G5" s="20">
        <v>27.9</v>
      </c>
      <c r="H5" s="20">
        <v>21.1</v>
      </c>
      <c r="I5" s="20">
        <v>12.2</v>
      </c>
      <c r="J5" s="20">
        <v>8.9</v>
      </c>
      <c r="K5" s="20">
        <v>6.6</v>
      </c>
    </row>
    <row r="6" spans="1:11" s="17" customFormat="1" hidden="1" outlineLevel="1" x14ac:dyDescent="0.2"/>
    <row r="7" spans="1:11" s="17" customFormat="1" hidden="1" outlineLevel="1" x14ac:dyDescent="0.2"/>
    <row r="8" spans="1:11" collapsed="1" x14ac:dyDescent="0.2">
      <c r="A8" s="6" t="s">
        <v>21</v>
      </c>
      <c r="C8" s="7">
        <f>C9/C10</f>
        <v>5707.7625570776254</v>
      </c>
      <c r="D8" s="5" t="s">
        <v>17</v>
      </c>
      <c r="E8" s="17"/>
      <c r="F8" s="21"/>
      <c r="G8" s="22"/>
      <c r="H8" s="22"/>
      <c r="I8" s="17"/>
      <c r="J8" s="17"/>
      <c r="K8" s="17"/>
    </row>
    <row r="9" spans="1:11" x14ac:dyDescent="0.2">
      <c r="A9" s="5" t="s">
        <v>22</v>
      </c>
      <c r="C9" s="47">
        <f>'Berechnung KEV - KWK'!C15</f>
        <v>50000000</v>
      </c>
      <c r="D9" s="5" t="s">
        <v>16</v>
      </c>
      <c r="E9" s="17"/>
      <c r="F9" s="22"/>
      <c r="G9" s="23"/>
      <c r="H9" s="22"/>
      <c r="I9" s="17"/>
      <c r="J9" s="17"/>
      <c r="K9" s="17"/>
    </row>
    <row r="10" spans="1:11" x14ac:dyDescent="0.2">
      <c r="A10" s="5" t="s">
        <v>23</v>
      </c>
      <c r="C10" s="47">
        <f>'Berechnung KEV - KWK'!C16</f>
        <v>8760</v>
      </c>
      <c r="D10" s="5" t="s">
        <v>18</v>
      </c>
      <c r="E10" s="17"/>
      <c r="F10" s="22"/>
      <c r="G10" s="24"/>
      <c r="H10" s="22"/>
      <c r="I10" s="17"/>
      <c r="J10" s="17"/>
      <c r="K10" s="17"/>
    </row>
    <row r="11" spans="1:11" x14ac:dyDescent="0.2">
      <c r="A11" s="5" t="s">
        <v>24</v>
      </c>
      <c r="C11" s="47">
        <f>'Berechnung KEV - KWK'!C17</f>
        <v>180</v>
      </c>
      <c r="D11" s="5" t="s">
        <v>19</v>
      </c>
      <c r="E11" s="17"/>
      <c r="F11" s="22"/>
      <c r="G11" s="22"/>
      <c r="H11" s="22"/>
      <c r="I11" s="17"/>
      <c r="J11" s="17"/>
      <c r="K11" s="17"/>
    </row>
    <row r="12" spans="1:11" x14ac:dyDescent="0.2">
      <c r="A12" s="5" t="s">
        <v>25</v>
      </c>
      <c r="C12" s="47">
        <f>'Berechnung KEV - KWK'!C18</f>
        <v>2250000</v>
      </c>
      <c r="D12" s="5" t="s">
        <v>20</v>
      </c>
      <c r="E12" s="17"/>
      <c r="F12" s="22"/>
      <c r="G12" s="22"/>
      <c r="H12" s="22"/>
      <c r="I12" s="17"/>
      <c r="J12" s="17"/>
      <c r="K12" s="17"/>
    </row>
    <row r="13" spans="1:11" x14ac:dyDescent="0.2">
      <c r="A13" s="5" t="s">
        <v>26</v>
      </c>
      <c r="C13" s="47">
        <f>'Berechnung KEV - KWK'!C19</f>
        <v>600000</v>
      </c>
      <c r="D13" s="5" t="s">
        <v>20</v>
      </c>
      <c r="E13" s="17"/>
      <c r="F13" s="22"/>
      <c r="G13" s="22"/>
      <c r="H13" s="22"/>
      <c r="I13" s="17"/>
      <c r="J13" s="17"/>
      <c r="K13" s="17"/>
    </row>
    <row r="14" spans="1:11" s="8" customFormat="1" x14ac:dyDescent="0.2">
      <c r="D14" s="9"/>
      <c r="E14" s="22"/>
      <c r="F14" s="25"/>
      <c r="G14" s="22"/>
      <c r="H14" s="22"/>
      <c r="I14" s="22"/>
      <c r="J14" s="22"/>
      <c r="K14" s="22"/>
    </row>
    <row r="15" spans="1:11" s="22" customFormat="1" hidden="1" outlineLevel="1" x14ac:dyDescent="0.2">
      <c r="A15" s="33" t="s">
        <v>3</v>
      </c>
      <c r="F15" s="23"/>
    </row>
    <row r="16" spans="1:11" s="22" customFormat="1" hidden="1" outlineLevel="1" x14ac:dyDescent="0.2">
      <c r="A16" s="22" t="s">
        <v>4</v>
      </c>
      <c r="D16" s="24"/>
      <c r="G16" s="24"/>
    </row>
    <row r="17" spans="1:12" s="22" customFormat="1" hidden="1" outlineLevel="1" x14ac:dyDescent="0.2">
      <c r="G17" s="23"/>
    </row>
    <row r="18" spans="1:12" s="17" customFormat="1" hidden="1" outlineLevel="1" x14ac:dyDescent="0.2">
      <c r="A18" s="34" t="s">
        <v>5</v>
      </c>
      <c r="F18" s="26"/>
      <c r="G18" s="27" t="s">
        <v>1</v>
      </c>
      <c r="H18" s="27" t="s">
        <v>1</v>
      </c>
      <c r="I18" s="27" t="s">
        <v>1</v>
      </c>
      <c r="J18" s="27" t="s">
        <v>1</v>
      </c>
      <c r="K18" s="27" t="s">
        <v>6</v>
      </c>
    </row>
    <row r="19" spans="1:12" s="17" customFormat="1" hidden="1" outlineLevel="1" x14ac:dyDescent="0.2">
      <c r="F19" s="26" t="s">
        <v>2</v>
      </c>
      <c r="G19" s="28">
        <v>5</v>
      </c>
      <c r="H19" s="28">
        <v>10</v>
      </c>
      <c r="I19" s="28">
        <v>20</v>
      </c>
      <c r="J19" s="28">
        <v>50</v>
      </c>
      <c r="K19" s="28">
        <v>50</v>
      </c>
    </row>
    <row r="20" spans="1:12" s="17" customFormat="1" hidden="1" outlineLevel="1" x14ac:dyDescent="0.2">
      <c r="A20" s="17" t="s">
        <v>7</v>
      </c>
      <c r="F20" s="26" t="s">
        <v>8</v>
      </c>
      <c r="G20" s="29">
        <v>5.0999999999999996</v>
      </c>
      <c r="H20" s="29">
        <v>3</v>
      </c>
      <c r="I20" s="29">
        <v>2.2000000000000002</v>
      </c>
      <c r="J20" s="29">
        <v>1.7</v>
      </c>
      <c r="K20" s="29">
        <v>1.1000000000000001</v>
      </c>
    </row>
    <row r="21" spans="1:12" s="17" customFormat="1" hidden="1" outlineLevel="1" x14ac:dyDescent="0.2">
      <c r="F21" s="22"/>
      <c r="G21" s="22"/>
      <c r="H21" s="22"/>
      <c r="I21" s="22"/>
      <c r="J21" s="22"/>
      <c r="K21" s="22"/>
      <c r="L21" s="22"/>
    </row>
    <row r="22" spans="1:12" s="17" customFormat="1" hidden="1" outlineLevel="1" x14ac:dyDescent="0.2">
      <c r="F22" s="26" t="s">
        <v>9</v>
      </c>
      <c r="G22" s="30">
        <v>10</v>
      </c>
      <c r="H22" s="30">
        <v>50</v>
      </c>
      <c r="I22" s="30">
        <v>300</v>
      </c>
      <c r="J22" s="30">
        <v>1000</v>
      </c>
      <c r="K22" s="30">
        <v>10000</v>
      </c>
      <c r="L22" s="22"/>
    </row>
    <row r="23" spans="1:12" s="17" customFormat="1" hidden="1" outlineLevel="1" x14ac:dyDescent="0.2">
      <c r="A23" s="17" t="s">
        <v>10</v>
      </c>
      <c r="F23" s="26" t="s">
        <v>11</v>
      </c>
      <c r="G23" s="31">
        <v>6.2</v>
      </c>
      <c r="H23" s="31">
        <v>4.5</v>
      </c>
      <c r="I23" s="31">
        <v>0</v>
      </c>
      <c r="J23" s="31">
        <v>0</v>
      </c>
      <c r="K23" s="31">
        <v>0</v>
      </c>
    </row>
    <row r="24" spans="1:12" s="17" customFormat="1" hidden="1" outlineLevel="1" x14ac:dyDescent="0.2">
      <c r="D24" s="35"/>
    </row>
    <row r="25" spans="1:12" hidden="1" outlineLevel="1" x14ac:dyDescent="0.2">
      <c r="A25" s="5" t="s">
        <v>12</v>
      </c>
      <c r="B25" s="5" t="s">
        <v>13</v>
      </c>
      <c r="C25" s="10">
        <f>IF((C13/C12)&lt;0.2,0,IF((C13/C12)&gt;0.5,1,((C13/C12)-0.2)/0.3))*IF(C8&lt;=10,HLOOKUP(10,neubau,2),IF(C8&lt;=50,(10*HLOOKUP(10,neubau,2)+(C8-10)*HLOOKUP(50,neubau,2))/C8,IF(C8&lt;=300,(10*HLOOKUP(10,neubau,2)+40*HLOOKUP(50,neubau,2)+(C8-10-40)*HLOOKUP(300,neubau,2))/C8,IF(C8&lt;=1000,(10*HLOOKUP(10,neubau,2)+40*HLOOKUP(50,neubau,2)+250*HLOOKUP(300,neubau,2)+(C8-10-40-250)*HLOOKUP(1000,neubau,2))/C8,IF(C8&lt;=10000,(10*HLOOKUP(10,neubau,2)+40*HLOOKUP(50,neubau,2)+250*HLOOKUP(300,neubau,2)+700*HLOOKUP(1000,neubau,2)+(C8-10-40-250-700)*HLOOKUP(10000,neubau,2))/C8,0)))))</f>
        <v>9.4218666666666655E-3</v>
      </c>
      <c r="D25" s="3">
        <f>IF((C13/C12)&lt;0.2,0,IF((C13/C12)&gt;0.5,1,((C13/C12)-0.2)/0.3))*IF(C8&lt;=10,HLOOKUP(10,neubau,2),IF(C8&lt;=50,HLOOKUP(50,neubau,2),IF(C8&lt;=300,HLOOKUP(300,neubau,2),IF(C8&lt;=1000,HLOOKUP(1000,neubau,2),IF(C8&lt;=10000,HLOOKUP(10000,neubau,2))))))</f>
        <v>0</v>
      </c>
      <c r="E25" s="17"/>
      <c r="F25" s="17"/>
      <c r="G25" s="17"/>
      <c r="H25" s="17"/>
      <c r="I25" s="17"/>
      <c r="J25" s="17"/>
      <c r="K25" s="17"/>
    </row>
    <row r="26" spans="1:12" hidden="1" outlineLevel="1" x14ac:dyDescent="0.2">
      <c r="B26" s="5" t="s">
        <v>14</v>
      </c>
      <c r="C26" s="10">
        <f>IF(C$11-G$19&lt;=0,G20,IF(C$11-H$19&lt;=0,(G$19*G20+(C$11-G$19)*H20)/C$11,IF(C$11-I$19&lt;=0,(G$19*G20+(H$19-$G19)*H20+(C$11-H$19)*I20)/C$11,IF(C$11-J$19&lt;=0,(G$19*G20+(H$19-G$19)*H20+(I$19-H$19)*I20+(C$11-I$19)*J20)/C$11,IF(C$11-J$19&gt;0,(G$19*G20+(H$19-G$19)*H20+(I$19-H$19)*I20+(J$19-I$19)*J20+(C11-J$19)*K20)/C$11,"Fehler")))))</f>
        <v>1.425</v>
      </c>
      <c r="D26" s="3"/>
      <c r="E26" s="17"/>
      <c r="F26" s="22"/>
      <c r="G26" s="17"/>
      <c r="H26" s="17"/>
      <c r="I26" s="17"/>
      <c r="J26" s="17"/>
      <c r="K26" s="17"/>
    </row>
    <row r="27" spans="1:12" hidden="1" outlineLevel="1" x14ac:dyDescent="0.2">
      <c r="A27" s="8"/>
      <c r="B27" s="8"/>
      <c r="C27" s="11"/>
      <c r="D27" s="3"/>
      <c r="E27" s="22"/>
      <c r="F27" s="17"/>
      <c r="G27" s="17"/>
      <c r="H27" s="17"/>
      <c r="I27" s="17"/>
      <c r="J27" s="17"/>
      <c r="K27" s="17"/>
    </row>
    <row r="28" spans="1:12" collapsed="1" x14ac:dyDescent="0.2">
      <c r="E28" s="17"/>
      <c r="F28" s="17"/>
      <c r="G28" s="17"/>
      <c r="H28" s="17"/>
      <c r="I28" s="17"/>
      <c r="J28" s="17"/>
      <c r="K28" s="17"/>
    </row>
    <row r="29" spans="1:12" x14ac:dyDescent="0.2">
      <c r="A29" s="6" t="s">
        <v>27</v>
      </c>
      <c r="E29" s="17"/>
      <c r="F29" s="17"/>
      <c r="G29" s="17"/>
      <c r="H29" s="17"/>
      <c r="I29" s="17"/>
      <c r="J29" s="17"/>
      <c r="K29" s="17"/>
    </row>
    <row r="30" spans="1:12" x14ac:dyDescent="0.2">
      <c r="A30" s="5" t="s">
        <v>28</v>
      </c>
      <c r="C30" s="12">
        <f>IF(C8-G4&lt;=0,G5,IF(C8-H4&lt;=0,(G5*G4+(C8-G4)*H5)/C8,IF(C8-I4&lt;=0,(G5*G4+H5*(H4-G4)+(C8-H4)*I5)/C8,IF(C8-J4&lt;=0,(G5*G4+H5*(H4-G4)+I5*(I4-H4)+(C8-I4)*J5)/C8,IF(C8-K4&lt;=0,(G5*G4+H5*(H4-G4)+I5*(I4-H4)+J5*(J4-I4)+(C8-J4)*K5)/C8,0)))))</f>
        <v>7.2662855999999998</v>
      </c>
      <c r="D30" s="13" t="s">
        <v>31</v>
      </c>
      <c r="E30" s="17"/>
      <c r="F30" s="17"/>
      <c r="G30" s="17"/>
      <c r="H30" s="17"/>
      <c r="I30" s="17"/>
      <c r="J30" s="17"/>
      <c r="K30" s="17"/>
    </row>
    <row r="31" spans="1:12" x14ac:dyDescent="0.2">
      <c r="A31" s="5" t="s">
        <v>29</v>
      </c>
      <c r="C31" s="12">
        <f>C26</f>
        <v>1.425</v>
      </c>
      <c r="D31" s="5" t="s">
        <v>31</v>
      </c>
      <c r="E31" s="17"/>
      <c r="F31" s="17"/>
      <c r="G31" s="17"/>
      <c r="H31" s="17"/>
      <c r="I31" s="17"/>
      <c r="J31" s="17"/>
      <c r="K31" s="17"/>
    </row>
    <row r="32" spans="1:12" x14ac:dyDescent="0.2">
      <c r="A32" s="36" t="s">
        <v>30</v>
      </c>
      <c r="C32" s="12">
        <f>C25</f>
        <v>9.4218666666666655E-3</v>
      </c>
      <c r="D32" s="5" t="s">
        <v>31</v>
      </c>
      <c r="E32" s="17"/>
      <c r="F32" s="17"/>
      <c r="G32" s="17"/>
      <c r="H32" s="17"/>
      <c r="I32" s="17"/>
      <c r="J32" s="17"/>
      <c r="K32" s="17"/>
    </row>
    <row r="33" spans="1:11" ht="21.2" customHeight="1" thickBot="1" x14ac:dyDescent="0.25">
      <c r="A33" s="38" t="s">
        <v>15</v>
      </c>
      <c r="B33" s="38"/>
      <c r="C33" s="37">
        <f>IF(C8&lt;10000,IF(SUM(C30:C32)&gt;38,38,SUM(C30:C32)),0)</f>
        <v>8.7007074666666675</v>
      </c>
      <c r="D33" s="39" t="s">
        <v>31</v>
      </c>
      <c r="E33" s="17"/>
      <c r="F33" s="17"/>
      <c r="G33" s="17"/>
      <c r="H33" s="17"/>
      <c r="I33" s="17"/>
      <c r="J33" s="17"/>
      <c r="K33" s="17"/>
    </row>
    <row r="34" spans="1:11" ht="13.5" thickTop="1" x14ac:dyDescent="0.2">
      <c r="E34" s="32"/>
      <c r="F34" s="17"/>
      <c r="G34" s="17"/>
      <c r="H34" s="17"/>
      <c r="I34" s="17"/>
      <c r="J34" s="17"/>
      <c r="K34" s="17"/>
    </row>
    <row r="35" spans="1:11" x14ac:dyDescent="0.2">
      <c r="E35" s="17"/>
      <c r="F35" s="17"/>
      <c r="G35" s="17"/>
      <c r="H35" s="17"/>
      <c r="I35" s="17"/>
      <c r="J35" s="17"/>
      <c r="K35" s="17"/>
    </row>
    <row r="36" spans="1:11" x14ac:dyDescent="0.2">
      <c r="E36" s="17"/>
      <c r="F36" s="17"/>
      <c r="G36" s="17"/>
      <c r="H36" s="17"/>
      <c r="I36" s="17"/>
      <c r="J36" s="17"/>
      <c r="K36" s="17"/>
    </row>
    <row r="37" spans="1:11" x14ac:dyDescent="0.2">
      <c r="E37" s="17"/>
      <c r="F37" s="17"/>
      <c r="G37" s="17"/>
      <c r="H37" s="17"/>
      <c r="I37" s="17"/>
      <c r="J37" s="17"/>
      <c r="K37" s="17"/>
    </row>
  </sheetData>
  <sheetProtection password="AFA5" sheet="1" objects="1" scenarios="1" selectLockedCells="1" selectUnlockedCells="1"/>
  <pageMargins left="0.74803149606299213" right="0.74803149606299213" top="0.98425196850393704" bottom="0.98425196850393704" header="0.51181102362204722" footer="0.51181102362204722"/>
  <pageSetup paperSize="9" scale="68"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zoomScale="85" zoomScaleNormal="85" workbookViewId="0">
      <selection activeCell="A13" sqref="A13"/>
    </sheetView>
  </sheetViews>
  <sheetFormatPr defaultColWidth="11.5703125" defaultRowHeight="12.75" outlineLevelRow="1" outlineLevelCol="1" x14ac:dyDescent="0.2"/>
  <cols>
    <col min="1" max="1" width="79.5703125" style="5" customWidth="1"/>
    <col min="2" max="2" width="3.5703125" style="5" customWidth="1"/>
    <col min="3" max="3" width="14.5703125" style="5" customWidth="1"/>
    <col min="4" max="4" width="12" style="5" bestFit="1" customWidth="1"/>
    <col min="5" max="5" width="16.42578125" style="5" hidden="1" customWidth="1" outlineLevel="1"/>
    <col min="6" max="6" width="23.140625" style="5" hidden="1" customWidth="1" outlineLevel="1"/>
    <col min="7" max="11" width="11.5703125" style="5" hidden="1" customWidth="1" outlineLevel="1"/>
    <col min="12" max="12" width="16.42578125" style="5" customWidth="1" collapsed="1"/>
    <col min="13" max="13" width="16.7109375" style="5" customWidth="1"/>
    <col min="14" max="16384" width="11.5703125" style="5"/>
  </cols>
  <sheetData>
    <row r="1" spans="1:11" ht="18" x14ac:dyDescent="0.25">
      <c r="A1" s="4" t="s">
        <v>50</v>
      </c>
    </row>
    <row r="3" spans="1:11" s="17" customFormat="1" hidden="1" outlineLevel="1" x14ac:dyDescent="0.2">
      <c r="E3" s="16" t="s">
        <v>0</v>
      </c>
      <c r="G3" s="18" t="s">
        <v>1</v>
      </c>
      <c r="H3" s="18" t="s">
        <v>1</v>
      </c>
      <c r="I3" s="18" t="s">
        <v>1</v>
      </c>
      <c r="J3" s="18" t="s">
        <v>1</v>
      </c>
      <c r="K3" s="18" t="s">
        <v>1</v>
      </c>
    </row>
    <row r="4" spans="1:11" s="17" customFormat="1" hidden="1" outlineLevel="1" x14ac:dyDescent="0.2">
      <c r="A4" s="34"/>
      <c r="G4" s="19">
        <v>10</v>
      </c>
      <c r="H4" s="19">
        <v>50</v>
      </c>
      <c r="I4" s="19">
        <v>300</v>
      </c>
      <c r="J4" s="19">
        <v>1000</v>
      </c>
      <c r="K4" s="19">
        <v>10000</v>
      </c>
    </row>
    <row r="5" spans="1:11" s="17" customFormat="1" hidden="1" outlineLevel="1" x14ac:dyDescent="0.2">
      <c r="G5" s="20">
        <v>27.9</v>
      </c>
      <c r="H5" s="20">
        <v>21.1</v>
      </c>
      <c r="I5" s="20">
        <v>12.2</v>
      </c>
      <c r="J5" s="20">
        <v>8.9</v>
      </c>
      <c r="K5" s="20">
        <v>6.6</v>
      </c>
    </row>
    <row r="6" spans="1:11" s="17" customFormat="1" hidden="1" outlineLevel="1" x14ac:dyDescent="0.2"/>
    <row r="7" spans="1:11" s="17" customFormat="1" hidden="1" outlineLevel="1" x14ac:dyDescent="0.2"/>
    <row r="8" spans="1:11" collapsed="1" x14ac:dyDescent="0.2">
      <c r="A8" s="6" t="s">
        <v>21</v>
      </c>
      <c r="C8" s="7">
        <f>C9/C10</f>
        <v>5707.7625570776254</v>
      </c>
      <c r="D8" s="5" t="s">
        <v>17</v>
      </c>
      <c r="E8" s="17"/>
      <c r="F8" s="21"/>
      <c r="G8" s="22"/>
      <c r="H8" s="22"/>
      <c r="I8" s="17"/>
      <c r="J8" s="17"/>
      <c r="K8" s="17"/>
    </row>
    <row r="9" spans="1:11" x14ac:dyDescent="0.2">
      <c r="A9" s="5" t="s">
        <v>22</v>
      </c>
      <c r="C9" s="47">
        <f>'Berechnung KEV - KWK'!C15</f>
        <v>50000000</v>
      </c>
      <c r="D9" s="5" t="s">
        <v>16</v>
      </c>
      <c r="E9" s="17"/>
      <c r="F9" s="22"/>
      <c r="G9" s="23"/>
      <c r="H9" s="22"/>
      <c r="I9" s="17"/>
      <c r="J9" s="17"/>
      <c r="K9" s="17"/>
    </row>
    <row r="10" spans="1:11" x14ac:dyDescent="0.2">
      <c r="A10" s="5" t="s">
        <v>23</v>
      </c>
      <c r="C10" s="47">
        <f>'Berechnung KEV - KWK'!C16</f>
        <v>8760</v>
      </c>
      <c r="D10" s="5" t="s">
        <v>18</v>
      </c>
      <c r="E10" s="17"/>
      <c r="F10" s="22"/>
      <c r="G10" s="24"/>
      <c r="H10" s="22"/>
      <c r="I10" s="17"/>
      <c r="J10" s="17"/>
      <c r="K10" s="17"/>
    </row>
    <row r="11" spans="1:11" x14ac:dyDescent="0.2">
      <c r="A11" s="5" t="s">
        <v>24</v>
      </c>
      <c r="C11" s="47">
        <f>'Berechnung KEV - KWK'!C17</f>
        <v>180</v>
      </c>
      <c r="D11" s="5" t="s">
        <v>19</v>
      </c>
      <c r="E11" s="17"/>
      <c r="F11" s="22"/>
      <c r="G11" s="22"/>
      <c r="H11" s="22"/>
      <c r="I11" s="17"/>
      <c r="J11" s="17"/>
      <c r="K11" s="17"/>
    </row>
    <row r="12" spans="1:11" x14ac:dyDescent="0.2">
      <c r="A12" s="5" t="s">
        <v>25</v>
      </c>
      <c r="C12" s="47">
        <f>'Berechnung KEV - KWK'!C18</f>
        <v>2250000</v>
      </c>
      <c r="D12" s="5" t="s">
        <v>20</v>
      </c>
      <c r="E12" s="17"/>
      <c r="F12" s="22"/>
      <c r="G12" s="22"/>
      <c r="H12" s="22"/>
      <c r="I12" s="17"/>
      <c r="J12" s="17"/>
      <c r="K12" s="17"/>
    </row>
    <row r="13" spans="1:11" x14ac:dyDescent="0.2">
      <c r="A13" s="5" t="s">
        <v>26</v>
      </c>
      <c r="C13" s="47">
        <f>'Berechnung KEV - KWK'!C19</f>
        <v>600000</v>
      </c>
      <c r="D13" s="5" t="s">
        <v>20</v>
      </c>
      <c r="E13" s="17"/>
      <c r="F13" s="22"/>
      <c r="G13" s="22"/>
      <c r="H13" s="22"/>
      <c r="I13" s="17"/>
      <c r="J13" s="17"/>
      <c r="K13" s="17"/>
    </row>
    <row r="14" spans="1:11" s="8" customFormat="1" x14ac:dyDescent="0.2">
      <c r="D14" s="9"/>
      <c r="E14" s="22"/>
      <c r="F14" s="25"/>
      <c r="G14" s="22"/>
      <c r="H14" s="22"/>
      <c r="I14" s="22"/>
      <c r="J14" s="22"/>
      <c r="K14" s="22"/>
    </row>
    <row r="15" spans="1:11" s="22" customFormat="1" hidden="1" outlineLevel="1" x14ac:dyDescent="0.2">
      <c r="A15" s="33" t="s">
        <v>3</v>
      </c>
      <c r="F15" s="23"/>
    </row>
    <row r="16" spans="1:11" s="22" customFormat="1" hidden="1" outlineLevel="1" x14ac:dyDescent="0.2">
      <c r="A16" s="22" t="s">
        <v>4</v>
      </c>
      <c r="D16" s="24"/>
      <c r="G16" s="24"/>
    </row>
    <row r="17" spans="1:12" s="22" customFormat="1" hidden="1" outlineLevel="1" x14ac:dyDescent="0.2">
      <c r="G17" s="23"/>
    </row>
    <row r="18" spans="1:12" s="17" customFormat="1" hidden="1" outlineLevel="1" x14ac:dyDescent="0.2">
      <c r="A18" s="34" t="s">
        <v>5</v>
      </c>
      <c r="F18" s="26"/>
      <c r="G18" s="27" t="s">
        <v>1</v>
      </c>
      <c r="H18" s="27" t="s">
        <v>1</v>
      </c>
      <c r="I18" s="27" t="s">
        <v>1</v>
      </c>
      <c r="J18" s="27" t="s">
        <v>1</v>
      </c>
      <c r="K18" s="27" t="s">
        <v>6</v>
      </c>
    </row>
    <row r="19" spans="1:12" s="17" customFormat="1" hidden="1" outlineLevel="1" x14ac:dyDescent="0.2">
      <c r="F19" s="26" t="s">
        <v>2</v>
      </c>
      <c r="G19" s="28">
        <v>5</v>
      </c>
      <c r="H19" s="28">
        <v>10</v>
      </c>
      <c r="I19" s="28">
        <v>20</v>
      </c>
      <c r="J19" s="28">
        <v>50</v>
      </c>
      <c r="K19" s="28">
        <v>50</v>
      </c>
    </row>
    <row r="20" spans="1:12" s="17" customFormat="1" hidden="1" outlineLevel="1" x14ac:dyDescent="0.2">
      <c r="A20" s="17" t="s">
        <v>7</v>
      </c>
      <c r="F20" s="26" t="s">
        <v>8</v>
      </c>
      <c r="G20" s="29">
        <v>5.0999999999999996</v>
      </c>
      <c r="H20" s="29">
        <v>3</v>
      </c>
      <c r="I20" s="29">
        <v>2.2000000000000002</v>
      </c>
      <c r="J20" s="29">
        <v>1.7</v>
      </c>
      <c r="K20" s="29">
        <v>1.1000000000000001</v>
      </c>
    </row>
    <row r="21" spans="1:12" s="17" customFormat="1" hidden="1" outlineLevel="1" x14ac:dyDescent="0.2">
      <c r="F21" s="22"/>
      <c r="G21" s="22"/>
      <c r="H21" s="22"/>
      <c r="I21" s="22"/>
      <c r="J21" s="22"/>
      <c r="K21" s="22"/>
      <c r="L21" s="22"/>
    </row>
    <row r="22" spans="1:12" s="17" customFormat="1" hidden="1" outlineLevel="1" x14ac:dyDescent="0.2">
      <c r="F22" s="26" t="s">
        <v>9</v>
      </c>
      <c r="G22" s="30">
        <v>10</v>
      </c>
      <c r="H22" s="30">
        <v>50</v>
      </c>
      <c r="I22" s="30">
        <v>300</v>
      </c>
      <c r="J22" s="30">
        <v>1000</v>
      </c>
      <c r="K22" s="30">
        <v>10000</v>
      </c>
      <c r="L22" s="22"/>
    </row>
    <row r="23" spans="1:12" s="17" customFormat="1" hidden="1" outlineLevel="1" x14ac:dyDescent="0.2">
      <c r="A23" s="17" t="s">
        <v>10</v>
      </c>
      <c r="F23" s="26" t="s">
        <v>11</v>
      </c>
      <c r="G23" s="31">
        <v>6.2</v>
      </c>
      <c r="H23" s="31">
        <v>4.5</v>
      </c>
      <c r="I23" s="31">
        <v>2.8</v>
      </c>
      <c r="J23" s="31">
        <v>1.4</v>
      </c>
      <c r="K23" s="31">
        <v>1.4</v>
      </c>
    </row>
    <row r="24" spans="1:12" s="17" customFormat="1" hidden="1" outlineLevel="1" x14ac:dyDescent="0.2">
      <c r="D24" s="35"/>
    </row>
    <row r="25" spans="1:12" hidden="1" outlineLevel="1" x14ac:dyDescent="0.2">
      <c r="A25" s="5" t="s">
        <v>12</v>
      </c>
      <c r="B25" s="5" t="s">
        <v>13</v>
      </c>
      <c r="C25" s="10">
        <f>IF((C13/C12)&lt;0.2,0,IF((C13/C12)&gt;0.5,1,((C13/C12)-0.2)/0.3))*IF(C8&lt;=10,HLOOKUP(10,neubau,2),IF(C8&lt;=50,(10*HLOOKUP(10,neubau,2)+(C8-10)*HLOOKUP(50,neubau,2))/C8,IF(C8&lt;=300,(10*HLOOKUP(10,neubau,2)+40*HLOOKUP(50,neubau,2)+(C8-10-40)*HLOOKUP(300,neubau,2))/C8,IF(C8&lt;=1000,(10*HLOOKUP(10,neubau,2)+40*HLOOKUP(50,neubau,2)+250*HLOOKUP(300,neubau,2)+(C8-10-40-250)*HLOOKUP(1000,neubau,2))/C8,IF(C8&lt;=10000,(10*HLOOKUP(10,neubau,2)+40*HLOOKUP(50,neubau,2)+250*HLOOKUP(300,neubau,2)+700*HLOOKUP(1000,neubau,2)+(C8-10-40-250-700)*HLOOKUP(10000,neubau,2))/C8,0)))))</f>
        <v>0.33143431111111099</v>
      </c>
      <c r="D25" s="3">
        <f>IF((C13/C12)&lt;0.2,0,IF((C13/C12)&gt;0.5,1,((C13/C12)-0.2)/0.3))*IF(C8&lt;=10,HLOOKUP(10,neubau,2),IF(C8&lt;=50,HLOOKUP(50,neubau,2),IF(C8&lt;=300,HLOOKUP(300,neubau,2),IF(C8&lt;=1000,HLOOKUP(1000,neubau,2),IF(C8&lt;=10000,HLOOKUP(10000,neubau,2))))))</f>
        <v>0.31111111111111106</v>
      </c>
      <c r="E25" s="17"/>
      <c r="F25" s="17"/>
      <c r="G25" s="17"/>
      <c r="H25" s="17"/>
      <c r="I25" s="17"/>
      <c r="J25" s="17"/>
      <c r="K25" s="17"/>
    </row>
    <row r="26" spans="1:12" hidden="1" outlineLevel="1" x14ac:dyDescent="0.2">
      <c r="B26" s="5" t="s">
        <v>14</v>
      </c>
      <c r="C26" s="10">
        <f>IF(C$11-G$19&lt;=0,G20,IF(C$11-H$19&lt;=0,(G$19*G20+(C$11-G$19)*H20)/C$11,IF(C$11-I$19&lt;=0,(G$19*G20+(H$19-$G19)*H20+(C$11-H$19)*I20)/C$11,IF(C$11-J$19&lt;=0,(G$19*G20+(H$19-G$19)*H20+(I$19-H$19)*I20+(C$11-I$19)*J20)/C$11,IF(C$11-J$19&gt;0,(G$19*G20+(H$19-G$19)*H20+(I$19-H$19)*I20+(J$19-I$19)*J20+(C11-J$19)*K20)/C$11,"Fehler")))))</f>
        <v>1.425</v>
      </c>
      <c r="D26" s="3"/>
      <c r="E26" s="17"/>
      <c r="F26" s="22"/>
      <c r="G26" s="17"/>
      <c r="H26" s="17"/>
      <c r="I26" s="17"/>
      <c r="J26" s="17"/>
      <c r="K26" s="17"/>
    </row>
    <row r="27" spans="1:12" hidden="1" outlineLevel="1" x14ac:dyDescent="0.2">
      <c r="A27" s="8"/>
      <c r="B27" s="8"/>
      <c r="C27" s="11"/>
      <c r="D27" s="3"/>
      <c r="E27" s="22"/>
      <c r="F27" s="17"/>
      <c r="G27" s="17"/>
      <c r="H27" s="17"/>
      <c r="I27" s="17"/>
      <c r="J27" s="17"/>
      <c r="K27" s="17"/>
    </row>
    <row r="28" spans="1:12" collapsed="1" x14ac:dyDescent="0.2">
      <c r="E28" s="17"/>
      <c r="F28" s="17"/>
      <c r="G28" s="17"/>
      <c r="H28" s="17"/>
      <c r="I28" s="17"/>
      <c r="J28" s="17"/>
      <c r="K28" s="17"/>
    </row>
    <row r="29" spans="1:12" x14ac:dyDescent="0.2">
      <c r="A29" s="6" t="s">
        <v>27</v>
      </c>
      <c r="E29" s="17"/>
      <c r="F29" s="17"/>
      <c r="G29" s="17"/>
      <c r="H29" s="17"/>
      <c r="I29" s="17"/>
      <c r="J29" s="17"/>
      <c r="K29" s="17"/>
    </row>
    <row r="30" spans="1:12" x14ac:dyDescent="0.2">
      <c r="A30" s="5" t="s">
        <v>28</v>
      </c>
      <c r="C30" s="12">
        <f>IF(C8-G4&lt;=0,G5,IF(C8-H4&lt;=0,(G5*G4+(C8-G4)*H5)/C8,IF(C8-I4&lt;=0,(G5*G4+H5*(H4-G4)+(C8-H4)*I5)/C8,IF(C8-J4&lt;=0,(G5*G4+H5*(H4-G4)+I5*(I4-H4)+(C8-I4)*J5)/C8,IF(C8-K4&lt;=0,(G5*G4+H5*(H4-G4)+I5*(I4-H4)+J5*(J4-I4)+(C8-J4)*K5)/C8,0)))))</f>
        <v>7.2662855999999998</v>
      </c>
      <c r="D30" s="13" t="s">
        <v>31</v>
      </c>
      <c r="E30" s="17"/>
      <c r="F30" s="17"/>
      <c r="G30" s="17"/>
      <c r="H30" s="17"/>
      <c r="I30" s="17"/>
      <c r="J30" s="17"/>
      <c r="K30" s="17"/>
    </row>
    <row r="31" spans="1:12" x14ac:dyDescent="0.2">
      <c r="A31" s="5" t="s">
        <v>29</v>
      </c>
      <c r="C31" s="12">
        <f>C26</f>
        <v>1.425</v>
      </c>
      <c r="D31" s="5" t="s">
        <v>31</v>
      </c>
      <c r="E31" s="17"/>
      <c r="F31" s="17"/>
      <c r="G31" s="17"/>
      <c r="H31" s="17"/>
      <c r="I31" s="17"/>
      <c r="J31" s="17"/>
      <c r="K31" s="17"/>
    </row>
    <row r="32" spans="1:12" x14ac:dyDescent="0.2">
      <c r="A32" s="36" t="s">
        <v>30</v>
      </c>
      <c r="C32" s="12">
        <f>C25</f>
        <v>0.33143431111111099</v>
      </c>
      <c r="D32" s="5" t="s">
        <v>31</v>
      </c>
      <c r="E32" s="17"/>
      <c r="F32" s="17"/>
      <c r="G32" s="17"/>
      <c r="H32" s="17"/>
      <c r="I32" s="17"/>
      <c r="J32" s="17"/>
      <c r="K32" s="17"/>
    </row>
    <row r="33" spans="1:11" ht="21.2" customHeight="1" thickBot="1" x14ac:dyDescent="0.25">
      <c r="A33" s="38" t="s">
        <v>15</v>
      </c>
      <c r="B33" s="38"/>
      <c r="C33" s="37">
        <f>IF(C8&lt;10000,IF(SUM(C30:C32)&gt;38,38,SUM(C30:C32)),0)</f>
        <v>9.0227199111111123</v>
      </c>
      <c r="D33" s="39" t="s">
        <v>31</v>
      </c>
      <c r="E33" s="17"/>
      <c r="F33" s="17"/>
      <c r="G33" s="17"/>
      <c r="H33" s="17"/>
      <c r="I33" s="17"/>
      <c r="J33" s="17"/>
      <c r="K33" s="17"/>
    </row>
    <row r="34" spans="1:11" ht="13.5" thickTop="1" x14ac:dyDescent="0.2">
      <c r="E34" s="32"/>
      <c r="F34" s="17"/>
      <c r="G34" s="17"/>
      <c r="H34" s="17"/>
      <c r="I34" s="17"/>
      <c r="J34" s="17"/>
      <c r="K34" s="17"/>
    </row>
    <row r="35" spans="1:11" x14ac:dyDescent="0.2">
      <c r="E35" s="17"/>
      <c r="F35" s="17"/>
      <c r="G35" s="17"/>
      <c r="H35" s="17"/>
      <c r="I35" s="17"/>
      <c r="J35" s="17"/>
      <c r="K35" s="17"/>
    </row>
    <row r="36" spans="1:11" x14ac:dyDescent="0.2">
      <c r="E36" s="17"/>
      <c r="F36" s="17"/>
      <c r="G36" s="17"/>
      <c r="H36" s="17"/>
      <c r="I36" s="17"/>
      <c r="J36" s="17"/>
      <c r="K36" s="17"/>
    </row>
    <row r="37" spans="1:11" x14ac:dyDescent="0.2">
      <c r="E37" s="17"/>
      <c r="F37" s="17"/>
      <c r="G37" s="17"/>
      <c r="H37" s="17"/>
      <c r="I37" s="17"/>
      <c r="J37" s="17"/>
      <c r="K37" s="17"/>
    </row>
  </sheetData>
  <sheetProtection password="AFA5" sheet="1" objects="1" scenarios="1" selectLockedCells="1" selectUnlockedCells="1"/>
  <pageMargins left="0.74803149606299213" right="0.74803149606299213" top="0.98425196850393704" bottom="0.98425196850393704" header="0.51181102362204722" footer="0.51181102362204722"/>
  <pageSetup paperSize="9" scale="68"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Berechnung KEV - KWK</vt:lpstr>
      <vt:lpstr>ES2050 NN</vt:lpstr>
      <vt:lpstr>ES2050</vt:lpstr>
      <vt:lpstr>KEV - KWK Kat 1 bis 2014 - 16</vt:lpstr>
      <vt:lpstr>KEV - KWK Kat 1 ab 2017</vt:lpstr>
      <vt:lpstr>KEV - KWK Kat 2 2014 - 15</vt:lpstr>
      <vt:lpstr>KEV - KWK Kat 2 2016</vt:lpstr>
      <vt:lpstr>KEV - KWK Kat 2 NN ab 2017</vt:lpstr>
      <vt:lpstr>KEV - KWK Kat 2 andere 2017</vt:lpstr>
      <vt:lpstr>'ES2050'!neubau</vt:lpstr>
      <vt:lpstr>'ES2050 NN'!neubau</vt:lpstr>
      <vt:lpstr>'KEV - KWK Kat 1 ab 2017'!neubau</vt:lpstr>
      <vt:lpstr>'KEV - KWK Kat 1 bis 2014 - 16'!neubau</vt:lpstr>
      <vt:lpstr>'KEV - KWK Kat 2 2014 - 15'!neubau</vt:lpstr>
      <vt:lpstr>'KEV - KWK Kat 2 2016'!neubau</vt:lpstr>
      <vt:lpstr>'KEV - KWK Kat 2 andere 2017'!neubau</vt:lpstr>
      <vt:lpstr>'KEV - KWK Kat 2 NN ab 2017'!neubau</vt:lpstr>
      <vt:lpstr>neubau</vt:lpstr>
      <vt:lpstr>'Berechnung KEV - KWK'!Print_Area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Berechnungstool Kostendeckende Einspeisevergütung</dc:title>
  <dc:subject>Kleinwasserkraft</dc:subject>
  <dc:creator>Martin.Boelli@skat.ch</dc:creator>
  <cp:lastModifiedBy>Martin Bölli</cp:lastModifiedBy>
  <cp:lastPrinted>2015-12-10T08:31:09Z</cp:lastPrinted>
  <dcterms:created xsi:type="dcterms:W3CDTF">1996-10-14T23:33:28Z</dcterms:created>
  <dcterms:modified xsi:type="dcterms:W3CDTF">2017-03-06T10:28:33Z</dcterms:modified>
</cp:coreProperties>
</file>